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3\Kỳ họp 20\DTNQ\"/>
    </mc:Choice>
  </mc:AlternateContent>
  <bookViews>
    <workbookView xWindow="-105" yWindow="-105" windowWidth="19425" windowHeight="10305" firstSheet="1" activeTab="3"/>
  </bookViews>
  <sheets>
    <sheet name="Phuong an (NSTW)" sheetId="1" state="hidden" r:id="rId1"/>
    <sheet name="1.NSCD" sheetId="3" r:id="rId2"/>
    <sheet name="2.Dat" sheetId="6" r:id="rId3"/>
    <sheet name="3.XSKT" sheetId="8" r:id="rId4"/>
    <sheet name="Sheet1" sheetId="9" state="hidden" r:id="rId5"/>
    <sheet name="Sheet2" sheetId="4" state="hidden" r:id="rId6"/>
    <sheet name="Ung quy PTĐ"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6">#N/A</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6">#N/A</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6" hidden="1">{"'Sheet1'!$L$16"}</definedName>
    <definedName name="_a1" hidden="1">{"'Sheet1'!$L$16"}</definedName>
    <definedName name="_a129" localSheetId="6"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6"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6"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6" hidden="1">{"'Sheet1'!$L$16"}</definedName>
    <definedName name="_Coc39" hidden="1">{"'Sheet1'!$L$16"}</definedName>
    <definedName name="_CON1" localSheetId="6">#REF!</definedName>
    <definedName name="_CON1">#REF!</definedName>
    <definedName name="_CON2" localSheetId="6">#REF!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6" hidden="1">#REF!</definedName>
    <definedName name="_Fill" hidden="1">#REF!</definedName>
    <definedName name="_Fill_1">"#REF!"</definedName>
    <definedName name="_xlnm._FilterDatabase" hidden="1">#REF!</definedName>
    <definedName name="_g1">#REF!</definedName>
    <definedName name="_g2">#REF!</definedName>
    <definedName name="_Goi8" localSheetId="6" hidden="1">{"'Sheet1'!$L$16"}</definedName>
    <definedName name="_Goi8" hidden="1">{"'Sheet1'!$L$16"}</definedName>
    <definedName name="_gon4">#REF!</definedName>
    <definedName name="_gis150">#REF!</definedName>
    <definedName name="_h1" localSheetId="6"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6" hidden="1">{"'Sheet1'!$L$16"}</definedName>
    <definedName name="_hu1" hidden="1">{"'Sheet1'!$L$16"}</definedName>
    <definedName name="_hu2" localSheetId="6" hidden="1">{"'Sheet1'!$L$16"}</definedName>
    <definedName name="_hu2" hidden="1">{"'Sheet1'!$L$16"}</definedName>
    <definedName name="_hu5" localSheetId="6" hidden="1">{"'Sheet1'!$L$16"}</definedName>
    <definedName name="_hu5" hidden="1">{"'Sheet1'!$L$16"}</definedName>
    <definedName name="_hu6" localSheetId="6"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6" hidden="1">#REF!</definedName>
    <definedName name="_Key1" hidden="1">#REF!</definedName>
    <definedName name="_Key1_1">"#REF!"</definedName>
    <definedName name="_Key2" localSheetId="6"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6" hidden="1">{#N/A,#N/A,FALSE,"Chi tiÆt"}</definedName>
    <definedName name="_KH08" hidden="1">{#N/A,#N/A,FALSE,"Chi tiÆt"}</definedName>
    <definedName name="_khu7">#REF!</definedName>
    <definedName name="_L">#REF!</definedName>
    <definedName name="_L1">#REF!</definedName>
    <definedName name="_L2">#REF!</definedName>
    <definedName name="_Lan1" localSheetId="6" hidden="1">{"'Sheet1'!$L$16"}</definedName>
    <definedName name="_Lan1" hidden="1">{"'Sheet1'!$L$16"}</definedName>
    <definedName name="_LAN3" localSheetId="6"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6"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6"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6">#REF!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6" hidden="1">{"'Sheet1'!$L$16"}</definedName>
    <definedName name="_PA3" hidden="1">{"'Sheet1'!$L$16"}</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6"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6" hidden="1">{"'Sheet1'!$L$16"}</definedName>
    <definedName name="_tt3" hidden="1">{"'Sheet1'!$L$16"}</definedName>
    <definedName name="_TT31" localSheetId="6"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6"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6"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localSheetId="6" hidden="1">3</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6"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6">#REF!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6">#REF!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 localSheetId="2">BlankMacro1</definedName>
    <definedName name="cf" localSheetId="3">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6">#REF!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6"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 localSheetId="2">BlankMacro1</definedName>
    <definedName name="Comm" localSheetId="3">BlankMacro1</definedName>
    <definedName name="Comm">BlankMacro1</definedName>
    <definedName name="COMMON" localSheetId="6">#REF!</definedName>
    <definedName name="COMMON">#REF!</definedName>
    <definedName name="comong">#REF!</definedName>
    <definedName name="Company">#REF!</definedName>
    <definedName name="CON_d">#REF!</definedName>
    <definedName name="CON_DUCT">#REF!</definedName>
    <definedName name="CON_EQP_COS" localSheetId="6">#REF!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 localSheetId="2">ErrorHandler_1</definedName>
    <definedName name="Content1" localSheetId="3">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6">#REF!</definedName>
    <definedName name="COVER">#REF!</definedName>
    <definedName name="CP" localSheetId="6"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6">#REF!</definedName>
    <definedName name="CRITINST">#REF!</definedName>
    <definedName name="CRITPURC" localSheetId="6">#REF!</definedName>
    <definedName name="CRITPURC">#REF!</definedName>
    <definedName name="CropEstablishmentWage">#REF!</definedName>
    <definedName name="CropManagementWage">#REF!</definedName>
    <definedName name="CRS">#REF!</definedName>
    <definedName name="CS">#REF!</definedName>
    <definedName name="CS_10" localSheetId="6">#REF!</definedName>
    <definedName name="CS_10">#REF!</definedName>
    <definedName name="CS_100" localSheetId="6">#REF!</definedName>
    <definedName name="CS_100">#REF!</definedName>
    <definedName name="CS_10S" localSheetId="6">#REF!</definedName>
    <definedName name="CS_10S">#REF!</definedName>
    <definedName name="CS_120" localSheetId="6">#REF!</definedName>
    <definedName name="CS_120">#REF!</definedName>
    <definedName name="CS_140" localSheetId="6">#REF!</definedName>
    <definedName name="CS_140">#REF!</definedName>
    <definedName name="CS_160" localSheetId="6">#REF!</definedName>
    <definedName name="CS_160">#REF!</definedName>
    <definedName name="CS_20" localSheetId="6">#REF!</definedName>
    <definedName name="CS_20">#REF!</definedName>
    <definedName name="CS_30" localSheetId="6">#REF!</definedName>
    <definedName name="CS_30">#REF!</definedName>
    <definedName name="CS_40" localSheetId="6">#REF!</definedName>
    <definedName name="CS_40">#REF!</definedName>
    <definedName name="CS_40S" localSheetId="6">#REF!</definedName>
    <definedName name="CS_40S">#REF!</definedName>
    <definedName name="CS_5S" localSheetId="6">#REF!</definedName>
    <definedName name="CS_5S">#REF!</definedName>
    <definedName name="CS_60" localSheetId="6">#REF!</definedName>
    <definedName name="CS_60">#REF!</definedName>
    <definedName name="CS_61">#REF!</definedName>
    <definedName name="CS_6S">#REF!</definedName>
    <definedName name="CS_80" localSheetId="6">#REF!</definedName>
    <definedName name="CS_80">#REF!</definedName>
    <definedName name="CS_80S" localSheetId="6">#REF!</definedName>
    <definedName name="CS_80S">#REF!</definedName>
    <definedName name="CS_STD" localSheetId="6">#REF!</definedName>
    <definedName name="CS_STD">#REF!</definedName>
    <definedName name="CS_XS" localSheetId="6">#REF!</definedName>
    <definedName name="CS_XS">#REF!</definedName>
    <definedName name="CS_XXS" localSheetId="6">#REF!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6"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 localSheetId="2">BlankMacro1</definedName>
    <definedName name="chie" localSheetId="3">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6"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 localSheetId="2">BlankMacro1</definedName>
    <definedName name="Ð" localSheetId="3">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6"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6">#REF!</definedName>
    <definedName name="_xlnm.Database">#REF!</definedName>
    <definedName name="DataFilter" localSheetId="1">[5]!DataFilter</definedName>
    <definedName name="DataFilter" localSheetId="2">[5]!DataFilter</definedName>
    <definedName name="DataFilter" localSheetId="3">[5]!DataFilter</definedName>
    <definedName name="DataFilter">[5]!DataFilter</definedName>
    <definedName name="datak">#REF!</definedName>
    <definedName name="datal">#REF!</definedName>
    <definedName name="DataSort" localSheetId="1">[5]!DataSort</definedName>
    <definedName name="DataSort" localSheetId="2">[5]!DataSort</definedName>
    <definedName name="DataSort" localSheetId="3">[5]!DataSort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6"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6">#REF!</definedName>
    <definedName name="den_bu">#REF!</definedName>
    <definedName name="denbu">#REF!</definedName>
    <definedName name="DenBuGiaiPhong">#REF!</definedName>
    <definedName name="DenDK" localSheetId="6"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6"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6" hidden="1">#REF!</definedName>
    <definedName name="Discount" hidden="1">#REF!</definedName>
    <definedName name="display_area_2" localSheetId="6"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6">#REF!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6">#REF!</definedName>
    <definedName name="End_1">#REF!</definedName>
    <definedName name="End_10" localSheetId="6">#REF!</definedName>
    <definedName name="End_10">#REF!</definedName>
    <definedName name="End_11" localSheetId="6">#REF!</definedName>
    <definedName name="End_11">#REF!</definedName>
    <definedName name="End_12" localSheetId="6">#REF!</definedName>
    <definedName name="End_12">#REF!</definedName>
    <definedName name="End_13" localSheetId="6">#REF!</definedName>
    <definedName name="End_13">#REF!</definedName>
    <definedName name="End_2" localSheetId="6">#REF!</definedName>
    <definedName name="End_2">#REF!</definedName>
    <definedName name="End_3" localSheetId="6">#REF!</definedName>
    <definedName name="End_3">#REF!</definedName>
    <definedName name="End_4" localSheetId="6">#REF!</definedName>
    <definedName name="End_4">#REF!</definedName>
    <definedName name="End_5" localSheetId="6">#REF!</definedName>
    <definedName name="End_5">#REF!</definedName>
    <definedName name="End_6" localSheetId="6">#REF!</definedName>
    <definedName name="End_6">#REF!</definedName>
    <definedName name="End_7" localSheetId="6">#REF!</definedName>
    <definedName name="End_7">#REF!</definedName>
    <definedName name="End_8" localSheetId="6">#REF!</definedName>
    <definedName name="End_8">#REF!</definedName>
    <definedName name="End_9" localSheetId="6">#REF!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6">#REF!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localSheetId="6" hidden="1">#REF!</definedName>
    <definedName name="FCode" hidden="1">#REF!</definedName>
    <definedName name="fcs">#REF!</definedName>
    <definedName name="fD">#REF!</definedName>
    <definedName name="Fdam">#REF!</definedName>
    <definedName name="Fdaymong">#REF!</definedName>
    <definedName name="fdfsf" localSheetId="6" hidden="1">{#N/A,#N/A,FALSE,"Chi tiÆt"}</definedName>
    <definedName name="fdfsf" hidden="1">{#N/A,#N/A,FALSE,"Chi tiÆt"}</definedName>
    <definedName name="FDR">#REF!</definedName>
    <definedName name="Fe">#REF!</definedName>
    <definedName name="ff">#REF!</definedName>
    <definedName name="fff" localSheetId="6"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 localSheetId="2">BlankMacro1</definedName>
    <definedName name="FIT" localSheetId="3">BlankMacro1</definedName>
    <definedName name="FIT">BlankMacro1</definedName>
    <definedName name="FITT2" localSheetId="1">BlankMacro1</definedName>
    <definedName name="FITT2" localSheetId="2">BlankMacro1</definedName>
    <definedName name="FITT2" localSheetId="3">BlankMacro1</definedName>
    <definedName name="FITT2">BlankMacro1</definedName>
    <definedName name="FITTING2" localSheetId="1">BlankMacro1</definedName>
    <definedName name="FITTING2" localSheetId="2">BlankMacro1</definedName>
    <definedName name="FITTING2" localSheetId="3">BlankMacro1</definedName>
    <definedName name="FITTING2">BlankMacro1</definedName>
    <definedName name="fjh">#REF!</definedName>
    <definedName name="FL">#REF!</definedName>
    <definedName name="FlexZZ">#REF!</definedName>
    <definedName name="FLG" localSheetId="1">BlankMacro1</definedName>
    <definedName name="FLG" localSheetId="2">BlankMacro1</definedName>
    <definedName name="FLG" localSheetId="3">BlankMacro1</definedName>
    <definedName name="FLG">BlankMacro1</definedName>
    <definedName name="Flv">#REF!</definedName>
    <definedName name="Fng">#REF!</definedName>
    <definedName name="FO">#N/A</definedName>
    <definedName name="foo" localSheetId="1">ErrorHandler_1</definedName>
    <definedName name="foo" localSheetId="2">ErrorHandler_1</definedName>
    <definedName name="foo" localSheetId="3">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6"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 localSheetId="2">BlankMacro1</definedName>
    <definedName name="getrtertertert" localSheetId="3">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 localSheetId="2">[5]Sheet1!GoBack</definedName>
    <definedName name="GoBack" localSheetId="3">[5]Sheet1!GoBack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6">#REF!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6"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6">#REF!</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localSheetId="6" hidden="1">#REF!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6">#REF!</definedName>
    <definedName name="HOME_MANP">#REF!</definedName>
    <definedName name="HOMEOFFICE_COST" localSheetId="6">#REF!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6" hidden="1">{"'Sheet1'!$L$16"}</definedName>
    <definedName name="htlm" hidden="1">{"'Sheet1'!$L$16"}</definedName>
    <definedName name="HTML_CodePage" hidden="1">950</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6" hidden="1">{"'Sheet1'!$L$16"}</definedName>
    <definedName name="htrhrt" hidden="1">{"'Sheet1'!$L$16"}</definedName>
    <definedName name="hu" localSheetId="6" hidden="1">{"'Sheet1'!$L$16"}</definedName>
    <definedName name="hu" hidden="1">{"'Sheet1'!$L$16"}</definedName>
    <definedName name="HUB">#REF!</definedName>
    <definedName name="hui" hidden="1">{"'Sheet1'!$L$16"}</definedName>
    <definedName name="hung" localSheetId="6">#REF!</definedName>
    <definedName name="hung" hidden="1">{"'Sheet1'!$L$16"}</definedName>
    <definedName name="HUU" hidden="1">{"'Sheet1'!$L$16"}</definedName>
    <definedName name="huy" localSheetId="6"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6">#REF!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6">#REF!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6">#REF!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6"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6" hidden="1">{"'Sheet1'!$L$16"}</definedName>
    <definedName name="ksbn" hidden="1">{"'Sheet1'!$L$16"}</definedName>
    <definedName name="kshn" localSheetId="6" hidden="1">{"'Sheet1'!$L$16"}</definedName>
    <definedName name="kshn" hidden="1">{"'Sheet1'!$L$16"}</definedName>
    <definedName name="ksls" localSheetId="6"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6"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6"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6" hidden="1">{"'Sheet1'!$L$16"}</definedName>
    <definedName name="khvh09" hidden="1">{"'Sheet1'!$L$16"}</definedName>
    <definedName name="khvx09" localSheetId="6" hidden="1">{#N/A,#N/A,FALSE,"Chi tiÆt"}</definedName>
    <definedName name="khvx09" hidden="1">{#N/A,#N/A,FALSE,"Chi tiÆt"}</definedName>
    <definedName name="KHYt09" localSheetId="6"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6"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6">#REF!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6"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6"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6"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6">#REF!</definedName>
    <definedName name="NET">#REF!</definedName>
    <definedName name="NET_1" localSheetId="6">#REF!</definedName>
    <definedName name="NET_1">#REF!</definedName>
    <definedName name="NET_ANA" localSheetId="6">#REF!</definedName>
    <definedName name="NET_ANA">#REF!</definedName>
    <definedName name="NET_ANA_1" localSheetId="6">#REF!</definedName>
    <definedName name="NET_ANA_1">#REF!</definedName>
    <definedName name="NET_ANA_2" localSheetId="6">#REF!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6">#REF!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6"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6"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6"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 localSheetId="2">BlankMacro1</definedName>
    <definedName name="PIP" localSheetId="3">BlankMacro1</definedName>
    <definedName name="PIP">BlankMacro1</definedName>
    <definedName name="PIPE2" localSheetId="1">BlankMacro1</definedName>
    <definedName name="PIPE2" localSheetId="2">BlankMacro1</definedName>
    <definedName name="PIPE2" localSheetId="3">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6"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 localSheetId="2">BlankMacro1</definedName>
    <definedName name="PPP" localSheetId="3">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'1.NSCD'!$A$1:$K$48</definedName>
    <definedName name="_xlnm.Print_Area" localSheetId="2">'2.Dat'!$A$1:$L$54</definedName>
    <definedName name="_xlnm.Print_Area" localSheetId="3">'3.XSKT'!$A$1:$K$26</definedName>
    <definedName name="_xlnm.Print_Area" localSheetId="0">'Phuong an (NSTW)'!$A$1:$L$120</definedName>
    <definedName name="_xlnm.Print_Area" localSheetId="4">Sheet1!$A$1:$F$8</definedName>
    <definedName name="_xlnm.Print_Area" localSheetId="5">Sheet2!$A$3:$D$16</definedName>
    <definedName name="_xlnm.Print_Area">#REF!</definedName>
    <definedName name="PRINT_AREA_MI" localSheetId="6">#REF!</definedName>
    <definedName name="PRINT_AREA_MI">#REF!</definedName>
    <definedName name="_xlnm.Print_Titles" localSheetId="1">'1.NSCD'!$6:$8</definedName>
    <definedName name="_xlnm.Print_Titles" localSheetId="2">'2.Dat'!$6:$8</definedName>
    <definedName name="_xlnm.Print_Titles" localSheetId="3">'3.XSKT'!$6:$8</definedName>
    <definedName name="_xlnm.Print_Titles" localSheetId="0">'Phuong an (NSTW)'!$4:$6</definedName>
    <definedName name="_xlnm.Print_Titles" localSheetId="6">#REF!</definedName>
    <definedName name="_xlnm.Print_Titles">#N/A</definedName>
    <definedName name="Print_Titles_MI" localSheetId="6">#REF!</definedName>
    <definedName name="PRINT_TITLES_MI">#REF!</definedName>
    <definedName name="PRINTA" localSheetId="6">#REF!</definedName>
    <definedName name="PRINTA">#REF!</definedName>
    <definedName name="PRINTB" localSheetId="6">#REF!</definedName>
    <definedName name="PRINTB">#REF!</definedName>
    <definedName name="PRINTC" localSheetId="6">#REF!</definedName>
    <definedName name="PRINTC">#REF!</definedName>
    <definedName name="prjName">#REF!</definedName>
    <definedName name="prjNo">#REF!</definedName>
    <definedName name="Pro_Soil">#REF!</definedName>
    <definedName name="ProdForm" localSheetId="6" hidden="1">#REF!</definedName>
    <definedName name="ProdForm" hidden="1">#REF!</definedName>
    <definedName name="Product" localSheetId="6" hidden="1">#REF!</definedName>
    <definedName name="Product" hidden="1">#REF!</definedName>
    <definedName name="Profit">2%</definedName>
    <definedName name="Project_Number">#REF!</definedName>
    <definedName name="PROPOSAL" localSheetId="6">#REF!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 localSheetId="2">[0]!Raûi_pheân_tre</definedName>
    <definedName name="PtichDTL" localSheetId="3">[0]!Raûi_pheân_tre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 localSheetId="2">__</definedName>
    <definedName name="Q__sè_721_Q__KH_T___27_5_03" localSheetId="3">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 localSheetId="2">BlankMacro1</definedName>
    <definedName name="QUY" localSheetId="3">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6"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6"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 localSheetId="2">BlankMacro1</definedName>
    <definedName name="Sheet3" localSheetId="3">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6">#REF!</definedName>
    <definedName name="SORT">#REF!</definedName>
    <definedName name="SortName">#REF!</definedName>
    <definedName name="Sosanh2" localSheetId="6"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6">#REF!</definedName>
    <definedName name="SPEC">#REF!</definedName>
    <definedName name="SpecialPrice" localSheetId="6" hidden="1">#REF!</definedName>
    <definedName name="SpecialPrice" hidden="1">#REF!</definedName>
    <definedName name="SPECSUMMARY" localSheetId="6">#REF!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6">#REF!</definedName>
    <definedName name="Start_1">#REF!</definedName>
    <definedName name="Start_10" localSheetId="6">#REF!</definedName>
    <definedName name="Start_10">#REF!</definedName>
    <definedName name="Start_11" localSheetId="6">#REF!</definedName>
    <definedName name="Start_11">#REF!</definedName>
    <definedName name="Start_12" localSheetId="6">#REF!</definedName>
    <definedName name="Start_12">#REF!</definedName>
    <definedName name="Start_13" localSheetId="6">#REF!</definedName>
    <definedName name="Start_13">#REF!</definedName>
    <definedName name="Start_2" localSheetId="6">#REF!</definedName>
    <definedName name="Start_2">#REF!</definedName>
    <definedName name="Start_3" localSheetId="6">#REF!</definedName>
    <definedName name="Start_3">#REF!</definedName>
    <definedName name="Start_4" localSheetId="6">#REF!</definedName>
    <definedName name="Start_4">#REF!</definedName>
    <definedName name="Start_5" localSheetId="6">#REF!</definedName>
    <definedName name="Start_5">#REF!</definedName>
    <definedName name="Start_6" localSheetId="6">#REF!</definedName>
    <definedName name="Start_6">#REF!</definedName>
    <definedName name="Start_7" localSheetId="6">#REF!</definedName>
    <definedName name="Start_7">#REF!</definedName>
    <definedName name="Start_8" localSheetId="6">#REF!</definedName>
    <definedName name="Start_8">#REF!</definedName>
    <definedName name="Start_9" localSheetId="6">#REF!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 localSheetId="2">BlankMacro1</definedName>
    <definedName name="Sua" localSheetId="3">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6">#REF!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6"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6"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6">#REF!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6" hidden="1">{"'Sheet1'!$L$16"}</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6"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6">#REF!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 localSheetId="2">BlankMacro1</definedName>
    <definedName name="TYT" localSheetId="3">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6" hidden="1">{"'Sheet1'!$L$16"}</definedName>
    <definedName name="tha" hidden="1">{"'Sheet1'!$L$16"}</definedName>
    <definedName name="Þa__iÓm">#REF!</definedName>
    <definedName name="thai" localSheetId="6">#REF!</definedName>
    <definedName name="thai" hidden="1">{"'Sheet1'!$L$16"}</definedName>
    <definedName name="thang">#REF!</definedName>
    <definedName name="Thang_Long">#REF!</definedName>
    <definedName name="Thang_Long_GT">#REF!</definedName>
    <definedName name="thang10" hidden="1">{"'Sheet1'!$L$16"}</definedName>
    <definedName name="THANH" localSheetId="6"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6"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6">#REF!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 localSheetId="2">BlankMacro1</definedName>
    <definedName name="unitt" localSheetId="3">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 localSheetId="2">BlankMacro1</definedName>
    <definedName name="ut" localSheetId="3">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6">#REF!</definedName>
    <definedName name="VARIINST">#REF!</definedName>
    <definedName name="VARIPURC" localSheetId="6">#REF!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6"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6"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6" hidden="1">{"'Sheet1'!$L$16"}</definedName>
    <definedName name="VH" hidden="1">{"'Sheet1'!$L$16"}</definedName>
    <definedName name="VHbom">#REF!</definedName>
    <definedName name="Via_He">#REF!</definedName>
    <definedName name="Viet" localSheetId="6"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6"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6">#REF!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6" hidden="1">{#N/A,#N/A,FALSE,"Sheet1";#N/A,#N/A,FALSE,"Sheet1";#N/A,#N/A,FALSE,"Sheet1"}</definedName>
    <definedName name="wrn.aaa." hidden="1">{#N/A,#N/A,FALSE,"Sheet1";#N/A,#N/A,FALSE,"Sheet1";#N/A,#N/A,FALSE,"Sheet1"}</definedName>
    <definedName name="wrn.aaa.1" localSheetId="6" hidden="1">{#N/A,#N/A,FALSE,"Sheet1";#N/A,#N/A,FALSE,"Sheet1";#N/A,#N/A,FALSE,"Sheet1"}</definedName>
    <definedName name="wrn.aaa.1" hidden="1">{#N/A,#N/A,FALSE,"Sheet1";#N/A,#N/A,FALSE,"Sheet1";#N/A,#N/A,FALSE,"Sheet1"}</definedName>
    <definedName name="wrn.Bang._.ke._.nhan._.hang." hidden="1">{#N/A,#N/A,FALSE,"Ke khai NH"}</definedName>
    <definedName name="wrn.cong." localSheetId="6" hidden="1">{#N/A,#N/A,FALSE,"Sheet1"}</definedName>
    <definedName name="wrn.cong." hidden="1">{#N/A,#N/A,FALSE,"Sheet1"}</definedName>
    <definedName name="wrn.Che._.do._.duoc._.huong." hidden="1">{#N/A,#N/A,FALSE,"BN (2)"}</definedName>
    <definedName name="wrn.chi._.tiÆt." localSheetId="6" hidden="1">{#N/A,#N/A,FALSE,"Chi tiÆt"}</definedName>
    <definedName name="wrn.chi._.tiÆt." hidden="1">{#N/A,#N/A,FALSE,"Chi tiÆt"}</definedName>
    <definedName name="wrn.Giáy._.bao._.no." hidden="1">{#N/A,#N/A,FALSE,"BN"}</definedName>
    <definedName name="wrn.Report." localSheetId="6"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6" hidden="1">{#N/A,#N/A,TRUE,"BT M200 da 10x20"}</definedName>
    <definedName name="wrn.vd." hidden="1">{#N/A,#N/A,TRUE,"BT M200 da 10x20"}</definedName>
    <definedName name="wrnf.report" localSheetId="6"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6">#REF!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6" hidden="1">{"'Sheet1'!$L$16"}</definedName>
    <definedName name="xls" hidden="1">{"'Sheet1'!$L$16"}</definedName>
    <definedName name="xlttbninh" localSheetId="6"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6">#REF!</definedName>
    <definedName name="ZYX">#REF!</definedName>
    <definedName name="ZZZ" localSheetId="6">#REF!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 localSheetId="2">BlankMacro1</definedName>
    <definedName name="템플리트모듈1" localSheetId="3">BlankMacro1</definedName>
    <definedName name="템플리트모듈1">BlankMacro1</definedName>
    <definedName name="템플리트모듈2" localSheetId="1">BlankMacro1</definedName>
    <definedName name="템플리트모듈2" localSheetId="2">BlankMacro1</definedName>
    <definedName name="템플리트모듈2" localSheetId="3">BlankMacro1</definedName>
    <definedName name="템플리트모듈2">BlankMacro1</definedName>
    <definedName name="템플리트모듈3" localSheetId="1">BlankMacro1</definedName>
    <definedName name="템플리트모듈3" localSheetId="2">BlankMacro1</definedName>
    <definedName name="템플리트모듈3" localSheetId="3">BlankMacro1</definedName>
    <definedName name="템플리트모듈3">BlankMacro1</definedName>
    <definedName name="템플리트모듈4" localSheetId="1">BlankMacro1</definedName>
    <definedName name="템플리트모듈4" localSheetId="2">BlankMacro1</definedName>
    <definedName name="템플리트모듈4" localSheetId="3">BlankMacro1</definedName>
    <definedName name="템플리트모듈4">BlankMacro1</definedName>
    <definedName name="템플리트모듈5" localSheetId="1">BlankMacro1</definedName>
    <definedName name="템플리트모듈5" localSheetId="2">BlankMacro1</definedName>
    <definedName name="템플리트모듈5" localSheetId="3">BlankMacro1</definedName>
    <definedName name="템플리트모듈5">BlankMacro1</definedName>
    <definedName name="템플리트모듈6" localSheetId="1">BlankMacro1</definedName>
    <definedName name="템플리트모듈6" localSheetId="2">BlankMacro1</definedName>
    <definedName name="템플리트모듈6" localSheetId="3">BlankMacro1</definedName>
    <definedName name="템플리트모듈6">BlankMacro1</definedName>
    <definedName name="피팅" localSheetId="1">BlankMacro1</definedName>
    <definedName name="피팅" localSheetId="2">BlankMacro1</definedName>
    <definedName name="피팅" localSheetId="3">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6" l="1"/>
  <c r="B54" i="8"/>
  <c r="B54" i="3"/>
  <c r="J46" i="6" l="1"/>
  <c r="E4" i="9" l="1"/>
  <c r="E3" i="9"/>
  <c r="E5" i="9"/>
  <c r="E6" i="9"/>
  <c r="E2" i="9"/>
  <c r="E7" i="9" s="1"/>
  <c r="H7" i="9"/>
  <c r="G7" i="9"/>
  <c r="I7" i="9" s="1"/>
  <c r="E8" i="9" s="1"/>
  <c r="D7" i="9"/>
  <c r="C7" i="9"/>
  <c r="F7" i="9" s="1"/>
  <c r="H23" i="3"/>
  <c r="Q7" i="8"/>
  <c r="P7" i="8"/>
  <c r="R7" i="8" s="1"/>
  <c r="O7" i="8"/>
  <c r="N7" i="8"/>
  <c r="M7" i="8"/>
  <c r="H9" i="8"/>
  <c r="E17" i="8"/>
  <c r="F17" i="8"/>
  <c r="G17" i="8"/>
  <c r="G9" i="8" s="1"/>
  <c r="H17" i="8"/>
  <c r="J26" i="8"/>
  <c r="E26" i="8"/>
  <c r="E39" i="6"/>
  <c r="F8" i="9" l="1"/>
  <c r="E11" i="8"/>
  <c r="I12" i="8"/>
  <c r="J25" i="8"/>
  <c r="I11" i="8"/>
  <c r="I10" i="8" s="1"/>
  <c r="J13" i="8"/>
  <c r="J14" i="8"/>
  <c r="J15" i="8"/>
  <c r="J16" i="8"/>
  <c r="J10" i="8" l="1"/>
  <c r="I9" i="8"/>
  <c r="J12" i="8"/>
  <c r="J11" i="8"/>
  <c r="F12" i="8"/>
  <c r="J20" i="8"/>
  <c r="J21" i="8"/>
  <c r="J22" i="8"/>
  <c r="J23" i="8"/>
  <c r="J19" i="8"/>
  <c r="D22" i="8"/>
  <c r="D17" i="8" s="1"/>
  <c r="I30" i="3"/>
  <c r="D30" i="3" s="1"/>
  <c r="E30" i="3" s="1"/>
  <c r="I15" i="3"/>
  <c r="E15" i="3"/>
  <c r="I16" i="3"/>
  <c r="I17" i="3"/>
  <c r="I18" i="3"/>
  <c r="I19" i="3"/>
  <c r="D19" i="3"/>
  <c r="D18" i="3"/>
  <c r="J17" i="8" l="1"/>
  <c r="I39" i="6"/>
  <c r="I41" i="6" s="1"/>
  <c r="I36" i="6" s="1"/>
  <c r="I34" i="6" s="1"/>
  <c r="J39" i="6"/>
  <c r="M9" i="8"/>
  <c r="H42" i="6"/>
  <c r="H33" i="6" s="1"/>
  <c r="G42" i="6"/>
  <c r="G33" i="6" s="1"/>
  <c r="H21" i="6"/>
  <c r="H10" i="6" s="1"/>
  <c r="G21" i="6"/>
  <c r="G10" i="6" s="1"/>
  <c r="G9" i="6" s="1"/>
  <c r="G34" i="3"/>
  <c r="H34" i="3"/>
  <c r="J54" i="6"/>
  <c r="J53" i="6"/>
  <c r="J52" i="6"/>
  <c r="J51" i="6"/>
  <c r="J49" i="6"/>
  <c r="H47" i="6"/>
  <c r="G47" i="6"/>
  <c r="F41" i="6"/>
  <c r="J40" i="6"/>
  <c r="J38" i="6"/>
  <c r="J35" i="6"/>
  <c r="J32" i="6"/>
  <c r="E32" i="6"/>
  <c r="D32" i="6"/>
  <c r="J31" i="6"/>
  <c r="J30" i="6"/>
  <c r="F28" i="6"/>
  <c r="J28" i="6" s="1"/>
  <c r="J27" i="6"/>
  <c r="J26" i="6"/>
  <c r="J25" i="6"/>
  <c r="J24" i="6"/>
  <c r="J23" i="6"/>
  <c r="J20" i="6"/>
  <c r="J19" i="6"/>
  <c r="M19" i="6" s="1"/>
  <c r="E19" i="6"/>
  <c r="M18" i="6"/>
  <c r="J18" i="6"/>
  <c r="I16" i="6"/>
  <c r="M16" i="6" s="1"/>
  <c r="I15" i="6"/>
  <c r="J15" i="6" s="1"/>
  <c r="E15" i="6"/>
  <c r="I12" i="6"/>
  <c r="L33" i="3"/>
  <c r="M33" i="3" s="1"/>
  <c r="H9" i="6" l="1"/>
  <c r="J41" i="6"/>
  <c r="F44" i="6" s="1"/>
  <c r="J21" i="6"/>
  <c r="J34" i="6"/>
  <c r="I33" i="6"/>
  <c r="F21" i="6"/>
  <c r="F42" i="6"/>
  <c r="I13" i="6"/>
  <c r="J13" i="6" s="1"/>
  <c r="J16" i="6"/>
  <c r="J36" i="6"/>
  <c r="J12" i="6"/>
  <c r="C11" i="4"/>
  <c r="C8" i="4"/>
  <c r="C6" i="4"/>
  <c r="H21" i="3"/>
  <c r="I33" i="3"/>
  <c r="E33" i="3"/>
  <c r="J44" i="6" l="1"/>
  <c r="J42" i="6" s="1"/>
  <c r="I11" i="6"/>
  <c r="J11" i="6" l="1"/>
  <c r="I10" i="6"/>
  <c r="I9" i="6" s="1"/>
  <c r="M9" i="6"/>
  <c r="I48" i="3"/>
  <c r="I47" i="3"/>
  <c r="I46" i="3"/>
  <c r="I45" i="3"/>
  <c r="D45" i="3"/>
  <c r="I44" i="3"/>
  <c r="I43" i="3"/>
  <c r="I42" i="3"/>
  <c r="D42" i="3"/>
  <c r="I41" i="3"/>
  <c r="D41" i="3"/>
  <c r="I40" i="3"/>
  <c r="I39" i="3"/>
  <c r="I38" i="3"/>
  <c r="I37" i="3"/>
  <c r="I36" i="3"/>
  <c r="F34" i="3"/>
  <c r="F9" i="3" s="1"/>
  <c r="I32" i="3"/>
  <c r="I31" i="3"/>
  <c r="I29" i="3"/>
  <c r="E29" i="3"/>
  <c r="I28" i="3"/>
  <c r="G27" i="3"/>
  <c r="E27" i="3"/>
  <c r="D27" i="3"/>
  <c r="I26" i="3"/>
  <c r="I25" i="3"/>
  <c r="I23" i="3"/>
  <c r="M23" i="3" s="1"/>
  <c r="H22" i="3"/>
  <c r="I21" i="3"/>
  <c r="D20" i="3"/>
  <c r="I14" i="3"/>
  <c r="I13" i="3"/>
  <c r="I12" i="3"/>
  <c r="I11" i="3"/>
  <c r="E24" i="1"/>
  <c r="H16" i="1"/>
  <c r="K24" i="1"/>
  <c r="G19" i="1"/>
  <c r="H15" i="1"/>
  <c r="M107" i="1"/>
  <c r="M106" i="1" s="1"/>
  <c r="N105" i="1" s="1"/>
  <c r="G110" i="1"/>
  <c r="E110" i="1" s="1"/>
  <c r="K120" i="1"/>
  <c r="J111" i="1"/>
  <c r="J91" i="1" s="1"/>
  <c r="J44" i="1"/>
  <c r="J43" i="1" s="1"/>
  <c r="I8" i="1"/>
  <c r="J8" i="1"/>
  <c r="I22" i="3" l="1"/>
  <c r="L23" i="3" s="1"/>
  <c r="H9" i="3"/>
  <c r="I27" i="3"/>
  <c r="G9" i="3"/>
  <c r="I34" i="3"/>
  <c r="E3" i="4"/>
  <c r="C7" i="4"/>
  <c r="C4" i="4" s="1"/>
  <c r="J7" i="1"/>
  <c r="H44" i="1"/>
  <c r="G44" i="1"/>
  <c r="H17" i="1"/>
  <c r="G22" i="1" l="1"/>
  <c r="K22" i="1" s="1"/>
  <c r="E22" i="1"/>
  <c r="D22" i="1"/>
  <c r="I20" i="3" l="1"/>
  <c r="L9" i="3"/>
  <c r="I50" i="1"/>
  <c r="K68" i="1"/>
  <c r="E68" i="1"/>
  <c r="D68" i="1"/>
  <c r="F64" i="1"/>
  <c r="K64" i="1" s="1"/>
  <c r="K50" i="1" l="1"/>
  <c r="E20" i="3"/>
  <c r="I9" i="3"/>
  <c r="L10" i="3"/>
  <c r="K10" i="1"/>
  <c r="E111" i="1"/>
  <c r="F111" i="1"/>
  <c r="H111" i="1"/>
  <c r="D111" i="1"/>
  <c r="F92" i="1"/>
  <c r="D92" i="1"/>
  <c r="K107" i="1"/>
  <c r="E107" i="1"/>
  <c r="K105" i="1"/>
  <c r="K102" i="1"/>
  <c r="K15" i="1"/>
  <c r="K19" i="1" l="1"/>
  <c r="D3" i="4" s="1"/>
  <c r="C3" i="4" s="1"/>
  <c r="N19" i="1"/>
  <c r="G111" i="1" l="1"/>
  <c r="K106" i="1" l="1"/>
  <c r="E106" i="1"/>
  <c r="E55" i="1"/>
  <c r="E49" i="1"/>
  <c r="D13" i="2" l="1"/>
  <c r="D12" i="2" s="1"/>
  <c r="C12" i="2"/>
  <c r="D8" i="2"/>
  <c r="C8" i="2"/>
  <c r="D7" i="2"/>
  <c r="F91" i="1"/>
  <c r="D91" i="1"/>
  <c r="K118" i="1"/>
  <c r="K116" i="1"/>
  <c r="K115" i="1"/>
  <c r="K114" i="1"/>
  <c r="K113" i="1"/>
  <c r="K110" i="1"/>
  <c r="G109" i="1"/>
  <c r="K109" i="1" s="1"/>
  <c r="E104" i="1"/>
  <c r="G108" i="1"/>
  <c r="K108" i="1" s="1"/>
  <c r="K101" i="1"/>
  <c r="K100" i="1"/>
  <c r="K99" i="1"/>
  <c r="K98" i="1"/>
  <c r="K97" i="1"/>
  <c r="K96" i="1"/>
  <c r="K95" i="1"/>
  <c r="H94" i="1"/>
  <c r="H92" i="1" s="1"/>
  <c r="F43" i="1"/>
  <c r="I72" i="1"/>
  <c r="I69" i="1" s="1"/>
  <c r="K69" i="1" s="1"/>
  <c r="K75" i="1"/>
  <c r="K111" i="1" l="1"/>
  <c r="G104" i="1"/>
  <c r="G92" i="1" s="1"/>
  <c r="M92" i="1" s="1"/>
  <c r="E92" i="1"/>
  <c r="E91" i="1" s="1"/>
  <c r="K94" i="1"/>
  <c r="H91" i="1"/>
  <c r="D6" i="2"/>
  <c r="K104" i="1" l="1"/>
  <c r="K92" i="1" s="1"/>
  <c r="K91" i="1" s="1"/>
  <c r="G91" i="1"/>
  <c r="K74" i="1"/>
  <c r="K72" i="1"/>
  <c r="K71" i="1"/>
  <c r="K53" i="1"/>
  <c r="K54" i="1"/>
  <c r="K55" i="1"/>
  <c r="K56" i="1"/>
  <c r="K52" i="1"/>
  <c r="I47" i="1"/>
  <c r="K49" i="1"/>
  <c r="K46" i="1"/>
  <c r="K90" i="1"/>
  <c r="K89" i="1"/>
  <c r="K88" i="1"/>
  <c r="K87" i="1"/>
  <c r="K85" i="1"/>
  <c r="H82" i="1"/>
  <c r="G82" i="1"/>
  <c r="K81" i="1"/>
  <c r="F76" i="1"/>
  <c r="K76" i="1" s="1"/>
  <c r="F79" i="1" s="1"/>
  <c r="K79" i="1" s="1"/>
  <c r="H69" i="1"/>
  <c r="G69" i="1"/>
  <c r="K67" i="1"/>
  <c r="K66" i="1"/>
  <c r="K63" i="1"/>
  <c r="K62" i="1"/>
  <c r="K61" i="1"/>
  <c r="K60" i="1"/>
  <c r="K59" i="1"/>
  <c r="K27" i="1"/>
  <c r="K26" i="1"/>
  <c r="K47" i="1" l="1"/>
  <c r="I44" i="1"/>
  <c r="G43" i="1"/>
  <c r="H43" i="1"/>
  <c r="K44" i="1" l="1"/>
  <c r="K43" i="1" s="1"/>
  <c r="M50" i="1"/>
  <c r="I43" i="1"/>
  <c r="I7" i="1" s="1"/>
  <c r="H14" i="1"/>
  <c r="K42" i="1"/>
  <c r="K41" i="1"/>
  <c r="K40" i="1"/>
  <c r="K39" i="1"/>
  <c r="D39" i="1"/>
  <c r="K38" i="1"/>
  <c r="K37" i="1"/>
  <c r="K36" i="1"/>
  <c r="D36" i="1"/>
  <c r="K35" i="1"/>
  <c r="D35" i="1"/>
  <c r="K34" i="1"/>
  <c r="K33" i="1"/>
  <c r="K32" i="1"/>
  <c r="K31" i="1"/>
  <c r="K30" i="1"/>
  <c r="G28" i="1"/>
  <c r="F28" i="1"/>
  <c r="F8" i="1" s="1"/>
  <c r="F7" i="1" s="1"/>
  <c r="K25" i="1"/>
  <c r="K23" i="1"/>
  <c r="K21" i="1"/>
  <c r="K20" i="1"/>
  <c r="K17" i="1"/>
  <c r="K16" i="1"/>
  <c r="D14" i="1"/>
  <c r="D8" i="1" s="1"/>
  <c r="K13" i="1"/>
  <c r="K12" i="1"/>
  <c r="K11" i="1"/>
  <c r="G8" i="1" l="1"/>
  <c r="E14" i="1"/>
  <c r="E8" i="1" s="1"/>
  <c r="K14" i="1"/>
  <c r="H8" i="1"/>
  <c r="H7" i="1" s="1"/>
  <c r="K28" i="1"/>
  <c r="G7" i="1" l="1"/>
  <c r="N7" i="1" s="1"/>
  <c r="N8" i="1"/>
  <c r="N9" i="1" s="1"/>
  <c r="M1" i="1"/>
  <c r="K8" i="1"/>
  <c r="K7" i="1" s="1"/>
</calcChain>
</file>

<file path=xl/comments1.xml><?xml version="1.0" encoding="utf-8"?>
<comments xmlns="http://schemas.openxmlformats.org/spreadsheetml/2006/main">
  <authors>
    <author>Admin</author>
  </authors>
  <commentList>
    <comment ref="G19" authorId="0" shapeId="0">
      <text>
        <r>
          <rPr>
            <b/>
            <sz val="9"/>
            <color indexed="81"/>
            <rFont val="Tahoma"/>
            <family val="2"/>
          </rPr>
          <t>Admin:</t>
        </r>
        <r>
          <rPr>
            <sz val="9"/>
            <color indexed="81"/>
            <rFont val="Tahoma"/>
            <family val="2"/>
          </rPr>
          <t xml:space="preserve">
Tăng thêm 18.750 triệu đồng</t>
        </r>
      </text>
    </comment>
  </commentList>
</comments>
</file>

<file path=xl/comments2.xml><?xml version="1.0" encoding="utf-8"?>
<comments xmlns="http://schemas.openxmlformats.org/spreadsheetml/2006/main">
  <authors>
    <author>Admin</author>
  </authors>
  <commentList>
    <comment ref="H19" authorId="0" shapeId="0">
      <text>
        <r>
          <rPr>
            <b/>
            <sz val="9"/>
            <color indexed="81"/>
            <rFont val="Tahoma"/>
            <family val="2"/>
          </rPr>
          <t>Admin:</t>
        </r>
        <r>
          <rPr>
            <sz val="9"/>
            <color indexed="81"/>
            <rFont val="Tahoma"/>
            <family val="2"/>
          </rPr>
          <t xml:space="preserve">
-490,715</t>
        </r>
      </text>
    </comment>
    <comment ref="H20" authorId="0" shapeId="0">
      <text>
        <r>
          <rPr>
            <b/>
            <sz val="9"/>
            <color indexed="81"/>
            <rFont val="Tahoma"/>
            <family val="2"/>
          </rPr>
          <t>Admin:</t>
        </r>
        <r>
          <rPr>
            <sz val="9"/>
            <color indexed="81"/>
            <rFont val="Tahoma"/>
            <family val="2"/>
          </rPr>
          <t xml:space="preserve">
-363,608</t>
        </r>
      </text>
    </comment>
    <comment ref="H22" authorId="0" shapeId="0">
      <text>
        <r>
          <rPr>
            <b/>
            <sz val="9"/>
            <color indexed="81"/>
            <rFont val="Tahoma"/>
            <family val="2"/>
          </rPr>
          <t>Admin:</t>
        </r>
        <r>
          <rPr>
            <sz val="9"/>
            <color indexed="81"/>
            <rFont val="Tahoma"/>
            <family val="2"/>
          </rPr>
          <t xml:space="preserve">
-694,373</t>
        </r>
      </text>
    </comment>
  </commentList>
</comments>
</file>

<file path=xl/sharedStrings.xml><?xml version="1.0" encoding="utf-8"?>
<sst xmlns="http://schemas.openxmlformats.org/spreadsheetml/2006/main" count="717" uniqueCount="322">
  <si>
    <t>NGUỒN VỐN NGÂN SÁCH ĐỊA PHƯƠNG CÂN ĐỐI THEO TIÊU CHÍ</t>
  </si>
  <si>
    <t>Đơn vị tính: triệu đồng</t>
  </si>
  <si>
    <t>TT</t>
  </si>
  <si>
    <t>Danh mục dự án</t>
  </si>
  <si>
    <t>Quyết định đầu tư được phê duyệt</t>
  </si>
  <si>
    <t>Kế hoạch trung hạn 2021-2025 được giao</t>
  </si>
  <si>
    <t>Kế hoạch trung hạn 2021-2025
sau điều chỉnh</t>
  </si>
  <si>
    <t>Ghi chú</t>
  </si>
  <si>
    <t>Số quyết định ngày, tháng, năm ban hành</t>
  </si>
  <si>
    <t>Tổng mức đầu tư</t>
  </si>
  <si>
    <t>Tổng số</t>
  </si>
  <si>
    <t>Tăng (+)</t>
  </si>
  <si>
    <t>Giảm (-)</t>
  </si>
  <si>
    <t>TỔNG CỘNG</t>
  </si>
  <si>
    <t>Dự án giảm vốn</t>
  </si>
  <si>
    <t>Phục hồi và quản lý bền vững rừng phòng hộ tỉnh Quảng Trị (JICA)</t>
  </si>
  <si>
    <t>Dự án đã kết thúc thực hiện</t>
  </si>
  <si>
    <t>Hiện đại hóa ngành Lâm nghiệp và tăng cường tính chống chịu vùng ven biển</t>
  </si>
  <si>
    <t>1486/QĐ-UBND ngày 18/6/2019</t>
  </si>
  <si>
    <t>Dự án điều chỉnh chủ trương đầu tư</t>
  </si>
  <si>
    <t>Cấp nước xã Vĩnh Long, Vĩnh Hà, huyện Vĩnh Linh</t>
  </si>
  <si>
    <t>Hiệp định vay của dự án đã được Bộ Tài chính thống nhất báo cáo Chính phủ không gia hạn</t>
  </si>
  <si>
    <t>Xây dựng cầu dân sinh và quản lý  tài sản địa phương (LRAMP)</t>
  </si>
  <si>
    <t>Thời gian thực hiện của dự án kết thúc vào ngày 30/6/2023</t>
  </si>
  <si>
    <t>Tuyến đường kết nối cảng hàng không Quảng Trị với Quốc lộ 1</t>
  </si>
  <si>
    <t>156/NQ-HĐND ngày 9/12/2021</t>
  </si>
  <si>
    <t>HĐND TỈNH GIAO KHI ĐỦ ĐIỀU KIỆN (Xây dựng điểm cơ sở A11 theo đường cơ sở để tính chiều rộng lãnh hải trên vùng biển Việt Nam; Hệ thống công sở các cơ quan hành chính nhà nước cấp tỉnh; Sửa chữa trụ sở làm việc chi nhánh Văn phòng đất đai các huyện; Trụ sở Hội Liên hiệp phụ nữ tỉnh; Hội trường Đảng ủy Khối cơ quan và doanh nghiệp tỉnh; Sửa chữa trụ sở làm việc HĐND tỉnh; ....)</t>
  </si>
  <si>
    <t>Đối ứng các dự án ODA giai đoạn 2021-2025</t>
  </si>
  <si>
    <t>Kế hoạch trung hạn chưa giao chi tiết tại Nghị quyết số 137/NQ-HĐND ngày 30/8/2021 của HĐND tỉnh là 150 tỷ đồng</t>
  </si>
  <si>
    <t>Dự phòng (10%)</t>
  </si>
  <si>
    <t>Kế hoạch trung hạn chưa giao chi tiết tại Nghị quyết số 20/NQ-HĐND ngày 28/3/2023 của HĐND tỉnh là 118,776 tỷ đồng</t>
  </si>
  <si>
    <t>Dự án tăng vốn</t>
  </si>
  <si>
    <t>Phát triển đô thị ven biển miền Trung hướng tới tăng trưởng xanh và ứng phó biến đổi khí hậu thành phố Đông Hà</t>
  </si>
  <si>
    <t>40/NQ-HĐND ngày 19/5/2023</t>
  </si>
  <si>
    <t>Xây dựng Trung tâm Bảo trợ xã hội và phục hồi chức năng dành cho người khuyết tật tỉnh Quảng Trị</t>
  </si>
  <si>
    <t>16/NQ-HĐND ngày 28/3/2023</t>
  </si>
  <si>
    <t>Đầu tư, tôn tạo di tích lịch sử lưu niệm danh nhân - Mộ Tiến sĩ Bùi Dục Tài</t>
  </si>
  <si>
    <t>Đối ứng Chương trình mục tiêu quốc gia Nông thôn mới</t>
  </si>
  <si>
    <t>NSĐP đối ứng là 29,82 tỷ đồng, trong đó: ngân sách tỉnh là 18,48 tỷ đồng và ngân sách huyện, xã là 13,44 tỷ đồng</t>
  </si>
  <si>
    <t>Hỗ trợ các địa phương theo các Thông báo kết luận của Tỉnh ủy</t>
  </si>
  <si>
    <t>Trong đó:</t>
  </si>
  <si>
    <t>+</t>
  </si>
  <si>
    <t>Nâng cấp, hoàn thiện bãi chôn lấp bãi rác thành phố Đông Hà</t>
  </si>
  <si>
    <t>189/NQ-HĐND ngày 29/6/2023
của Tp Đông Hà</t>
  </si>
  <si>
    <t>Xây dựng CSHT khu tái định cư Phường 3, thành phố Đông Hà (giai đoạn 2)</t>
  </si>
  <si>
    <t>188/NQ-HĐND ngày 29/6/2023
của Tp Đông Hà</t>
  </si>
  <si>
    <t>Nhà văn hóa Trung tâm thị xã Quảng Trị</t>
  </si>
  <si>
    <t>11/NQ-HĐND ngày 30/6/2021
99/NQ-HDNĐ ngày 28/6/2023
của thị xã QT</t>
  </si>
  <si>
    <t>Cơ quan Đảng, Mặt trận và các tổ chức chính trị - xã hội huyện Hải Lăng</t>
  </si>
  <si>
    <t>15/NQ-HĐND ngày 28/6/2023
của huyện HL</t>
  </si>
  <si>
    <t>Cải tạo cảnh quan Hồ Sắc Tứ, thị trấn Ái Tử</t>
  </si>
  <si>
    <t>28/NQ-HĐND ngày 30/6/2023
của huyện TP</t>
  </si>
  <si>
    <t>Hạ tầng khu tái định cư tại xã Trung Giang, huyện Gio Linh</t>
  </si>
  <si>
    <t>14/NQ-HĐND ngày 28/6/2023
của huyện GL</t>
  </si>
  <si>
    <t>Điều chỉnh mở rộng bãi tắm Cửa Việt thuộc khu dịch vụ - dịch lịch Cửa Việt</t>
  </si>
  <si>
    <t>15/NQ-HĐND ngày 28/6/2023
của huyện GL</t>
  </si>
  <si>
    <t>Nâng cấp đường Lê Hồng Phong, thị trấn Hồ Xá; Hạng mục: Nâng cấp nền mặt đường, hệ thống thoát nước, vĩa hè</t>
  </si>
  <si>
    <t>442/QĐ-UBND ngày 20/6/2023
của huyện VL</t>
  </si>
  <si>
    <t xml:space="preserve">Nâng cấp đường nội thị Khóm 2, thị trấn Bến Quan: Hạng mục: Nâng cấp nền mặt đường, hệ thống thoát nước, vĩa hè </t>
  </si>
  <si>
    <t>445/QĐ-UBND ngày 20/6/2023
của huyện VL</t>
  </si>
  <si>
    <t>Khắc phục, sữa chữa đường An Thái - Bản Chùa</t>
  </si>
  <si>
    <t>18/NQ-HĐND ngày 26/6/2023
của huyện CL</t>
  </si>
  <si>
    <t>Hồ sinh thái đập dâng Khe Ruôi, thị trấn Krông Klang, huyện Đakrông (giai đoạn 1)</t>
  </si>
  <si>
    <t>145/NQ-HĐND ngày 28/6/2023
của huyện ĐK</t>
  </si>
  <si>
    <t>Đường liên thôn kết nối Quốc lộ 9, xã Tân Liên, huyện Hướng Hóa</t>
  </si>
  <si>
    <t>34/NQ-HĐND ngày 28/6/2023
của huyện HH</t>
  </si>
  <si>
    <t>Sửa chữa, nâng cấp Đài tưởng niệm anh hùng đảo Cồn Cỏ</t>
  </si>
  <si>
    <t>02/NQ-HĐND 22/6/2023 của huyện đảo CC</t>
  </si>
  <si>
    <t>3728/QĐ-UBND ngày 29/12/2017</t>
  </si>
  <si>
    <t>1013/QĐ-UBND ngày 28/5/2014</t>
  </si>
  <si>
    <t>462/QĐ-BGTVT ngày 07/4/2022</t>
  </si>
  <si>
    <t>Điều chỉnh cơ cấu nguồn vốn đầu tư thực hiện từ ngân sách trung ương</t>
  </si>
  <si>
    <t>Đầu tư nâng cấp cơ sở vật chất các đơn vị trực thuộc Sở Giáo dục và Đào tạo Quảng Trị</t>
  </si>
  <si>
    <t>Đối ứng Chương trình mục tiêu quốc gia phát triển kinh tế - xã hội vùng đồng bào dân tộc thiểu số và miền núi</t>
  </si>
  <si>
    <t>Tỷ lệ đối ứng theo quy định tại khoản 5 Điều 1 Nghị quyết số 22/2022/NQ-HĐND ngày 31/5/2022 của HĐND</t>
  </si>
  <si>
    <t>Hỗ trợ 09 xã vùng đồng bào dân tộc thiểu số, miền núi đăng ký đạt chuẩn NTM giai đoạn 2021-2025</t>
  </si>
  <si>
    <t>I</t>
  </si>
  <si>
    <t>Trình Hội đồng nhân dân tỉnh quyết định điều chỉnh</t>
  </si>
  <si>
    <t>II</t>
  </si>
  <si>
    <t>Vỉa hè và hệ thống thoát nước đường Trần Cao Vân</t>
  </si>
  <si>
    <t>3557/QĐ-UBND
ngày 31/12/2021
của Tp Đông Hà</t>
  </si>
  <si>
    <t>Công trình đã hoàn thành, số vốn không thực hiện là 3 tỷ đã được UBND tỉnh thống nhất điều chuyển để thực hiện dự án Đường Trường Chinh nối dài (đoạn từ đường Nguyễn Du đến đường Nguyễn Chí Thanh) tại văn bản số 1346/UBND-TH ngày 31/3/2023</t>
  </si>
  <si>
    <t>Vỉa hè các tuyến đường Khu đô thị Nam Đông Hà giai đoạn 1</t>
  </si>
  <si>
    <t>213/QĐ-UBND
ngày 26/01/2021</t>
  </si>
  <si>
    <t>Giải phóng mặt bằng tạo quỹ đất sạch phục vụ đấu giá quyền sử dụng đất để thực hiện dự án Khu đô thị thương mại - dịch vụ Nam Đông Hà</t>
  </si>
  <si>
    <t>472/QĐ-UBND
 ngày 01/3/2021</t>
  </si>
  <si>
    <t>Công viên mini Phường 2, thành phố Đông Hà</t>
  </si>
  <si>
    <t>1230/QĐ-UBND
ngày 21/5/2021</t>
  </si>
  <si>
    <t>Đường Trần Bình Trọng (đoạn từ Đập ngăn mặn sông Hiếu đến QL.9)</t>
  </si>
  <si>
    <t>Giảm khối lượng không thực hiện</t>
  </si>
  <si>
    <t>Đường Trường Chinh nối dài (đoạn từ đường Nguyễn Du đến đường Nguyễn Chí Thanh)</t>
  </si>
  <si>
    <t>179/NQ-HĐND
ngày 22/5/2013
của Tp Đông Hà</t>
  </si>
  <si>
    <t>+ NSTP Đông Hà (6,5 tỷ)</t>
  </si>
  <si>
    <t>Xây dựng cơ sở hạ tầng khu vực Bắc sông Hiếu</t>
  </si>
  <si>
    <t>Bổ sung vốn để thực hiện hoàn thành các hạng mục dỡ dang của dự án</t>
  </si>
  <si>
    <r>
      <t xml:space="preserve">HĐND TỈNH GIAO KHI ĐỦ ĐIỀU KIỆN </t>
    </r>
    <r>
      <rPr>
        <sz val="12"/>
        <rFont val="Times New Roman"/>
        <family val="1"/>
      </rPr>
      <t>(Đối ứng các dự án ODA mới giai đoạn 2021-2025; Đầu tư nâng cấp, cải tạo một số trụ sở cấp xã; Nhà thiếu nhi tỉnh; Đường dân sinh kết nối khu phố 3 và khu phố 4, phường Đông Lễ, thành phố Đông Hà; ...)</t>
    </r>
  </si>
  <si>
    <t>III</t>
  </si>
  <si>
    <t>Dự kiến bố trí sau</t>
  </si>
  <si>
    <t>- Kế hoạch trung hạn chưa giao chi tiết tại Nghị quyết số 20/NQ-HĐND ngày 28/3/2023 là 62.859,5 triệu đồng
- Kế hoạch vốn còn lại dự kiến phân bổ cho Dự án Tuyến đường kết nối phía Bắc cảng Mỹ Thủy thuộc Khu kinh tế Đông Nam Quảng Trị (giai đoạn 1) và kinh phí chuẩn bị đầu tư dự án Cao tốc Cam Lộ - Lao Bảo, Quốc lộ 15D sau khi đủ điều kiện</t>
  </si>
  <si>
    <t>Cơ sở hạ tầng Khu tái định cư Lao Bảo - Tân Thành (giai đoạn 2)</t>
  </si>
  <si>
    <t>Thực hiện hoàn thành dự án</t>
  </si>
  <si>
    <t>Hệ thống xử lý nước thải KCN Quán Ngang</t>
  </si>
  <si>
    <t>614/QĐ-UBND ngày 29/3/2016</t>
  </si>
  <si>
    <t xml:space="preserve">Một số hạng mục thiết yếu thuộc Khu tái định cư Lao Bảo - Tân Thành </t>
  </si>
  <si>
    <t>Tuyến RD-01 và RD-04 khu công nghiệp Quán Ngang</t>
  </si>
  <si>
    <t>II.1</t>
  </si>
  <si>
    <t>Nguồn thu từ đấu giá quyền sử dụng đất ở tại thành phố Đông Hà</t>
  </si>
  <si>
    <t>Điều chỉnh nội bộ kế hoạch đã giao</t>
  </si>
  <si>
    <t>Điều chỉnh giảm kế hoạch trung hạn đã giao</t>
  </si>
  <si>
    <t xml:space="preserve">
933/QĐ-UBND
ngày 26/4/2019</t>
  </si>
  <si>
    <t>Nguồn đấu giá, đấu thầu các khu đất cho nhà đầu tư sử dụng</t>
  </si>
  <si>
    <t>Kế hoạch 2021-2025 giao 64,21 tỷ đồng; trong đó: NSCĐ 22,21 tỷ đồng + Đấu giá đất 42 tỷ đồng</t>
  </si>
  <si>
    <t>II.2</t>
  </si>
  <si>
    <t>II.3</t>
  </si>
  <si>
    <t>Nguồn thu từ đấu giá quyền sử dụng đất ở tại KKT TMĐB Lao Bảo</t>
  </si>
  <si>
    <t>Đo đạc địa chính và quỹ phát triển đất</t>
  </si>
  <si>
    <t>2</t>
  </si>
  <si>
    <t>Bố trí các công trình phát triển quỹ đất</t>
  </si>
  <si>
    <t>Khu đô thị sinh thái Nam Đông Hà</t>
  </si>
  <si>
    <t>3</t>
  </si>
  <si>
    <t>Bố trí cho các công trình phát triển KTXH khác</t>
  </si>
  <si>
    <t>-</t>
  </si>
  <si>
    <t>Công viên đường Hùng Vương</t>
  </si>
  <si>
    <t>Đường Lê Thánh Tông, thành phố Đông Hà (đoạn Lê Lợi - Hùng Vương)</t>
  </si>
  <si>
    <t>Đường hai đầu cầu dây văng sông Hiếu giai đoạn I</t>
  </si>
  <si>
    <t>Hệ thống cấp nước tập trung vùng nông thôn</t>
  </si>
  <si>
    <t>HĐND TỈNH GIAO KHI ĐỦ ĐIỀU KIỆN (Đường hai đầu cầu dây văng sông Hiếu; Tăng cường năng lực cấp nước sinh hoạt mùa hạn cho thành phố Đông Hà; ...)</t>
  </si>
  <si>
    <t>Dự án chưa được giao vốn;
Thực hiện đầu tư trong giai đoạn 2026-2030</t>
  </si>
  <si>
    <t>Điều chuyển giảm số vốn chưa được HĐND tỉnh giao (dự kiến của dự án Tăng cường năng lực cấp nước sinh hoạt mùa hạn cho thành phố Đông Hà)</t>
  </si>
  <si>
    <t>*</t>
  </si>
  <si>
    <t>Điều chỉnh nội bộ kế hoạch trung hạn đã giao</t>
  </si>
  <si>
    <t>Bố trí công trình phát triển quỹ đất và KTXH khác</t>
  </si>
  <si>
    <t>Giải phóng mặt bằng để thực hiện dự án nâng cấp, mở rộng quốc lộ 9 đoạn từ quốc lộ 1 đến cảng Cửa Việt</t>
  </si>
  <si>
    <t>Giảm vốn do điều chỉnh giảm bề rộng mặt cắt ngang nền đường</t>
  </si>
  <si>
    <t>Rà phá bom mìn vật nổ phục vụ tái định cư huyện Triệu Phong và huyện Hải Lăng</t>
  </si>
  <si>
    <t>2258/QĐ-UBND 18/8/2017</t>
  </si>
  <si>
    <t>Dự án đã hoàn thành, số vốn còn lại không có nhu cầu sử dụng</t>
  </si>
  <si>
    <t>Dự án phát triển cơ sở hạ tầng  các vùng nuôi thủy sản tập trung tỉnh Quảng Trị</t>
  </si>
  <si>
    <t>1822/QĐ-UBND ngày 14/7/2021</t>
  </si>
  <si>
    <t>Khu tái định cư xã Hải Khê và đường vào khu tái định cư (giai đoạn 1)</t>
  </si>
  <si>
    <t>Khu tái định cư xã Hải An và đường giao thông dọc khu kinh tế (giai đoạn 1)</t>
  </si>
  <si>
    <t>2943/QĐ-UBND 30/10/2017</t>
  </si>
  <si>
    <t>1821/QĐ-UBND ngày 14/7/2021</t>
  </si>
  <si>
    <t>Đường Ngô Quyền, Cầu quy Thiện và đoạn còn lại Đường Xuân - Quy - Vĩnh</t>
  </si>
  <si>
    <t>Đường liên xã Đakrông - Mò Ó - Triệu Nguyên - Ba Lòng, huyện Đakrông</t>
  </si>
  <si>
    <t>1819/QĐ-UBND ngày 14/7/2021;</t>
  </si>
  <si>
    <t>81/NQ-HĐND ngày 25/6/2021</t>
  </si>
  <si>
    <t xml:space="preserve">Xây dựng cơ sở hạ tầng thích ứng với biến đổi khí hậu cho đồng bào dân tộc thiểu số - (CRIEM), tỉnh Quảng Trị </t>
  </si>
  <si>
    <t>218/QĐ-TTg ngày 19/02/2021</t>
  </si>
  <si>
    <t>Giãn tiến độ bố trí vốn để phù hợp với tình hình thực hiện của dự án</t>
  </si>
  <si>
    <t>Trụ sở Tỉnh ủy Quảng Trị và các cơ quan, giai đoạn 1</t>
  </si>
  <si>
    <t>26/NQ-HĐND ngày 12/5/2021</t>
  </si>
  <si>
    <t>127/NQ-HĐND 30/8/2021</t>
  </si>
  <si>
    <t>Bổ sung để hoàn thành dự án trong giai đoạn 2021-2025 do nguồn thu của tỉnh không đạt</t>
  </si>
  <si>
    <t>Đường hai đầu cầu dây văng sông Hiếu</t>
  </si>
  <si>
    <t>32/NQ-HĐND ngày 25/6/2021
của TP Đông Hà</t>
  </si>
  <si>
    <t>157/NQ-HĐND ngày 9/12/2021</t>
  </si>
  <si>
    <t>Trong đó: NS tỉnh/ NSTW</t>
  </si>
  <si>
    <t>Dự án Tăng cường quản lý đất đai và cơ sở dữ liệu đất đai tỉnh Quảng Trị</t>
  </si>
  <si>
    <t>424/QĐ-UBND ngày 08/3/2017</t>
  </si>
  <si>
    <t>Sữa chữa và nâng cao an toàn đập (WB8)</t>
  </si>
  <si>
    <t>1241/QĐ-UBND ngày 06/6/2018</t>
  </si>
  <si>
    <t>Giảm số vốn không có nhu cầu sử dụng</t>
  </si>
  <si>
    <t>Dự án Phục hồi và quản lý bền vững rừng phòng hộ tỉnh Quảng Trị (JICA)</t>
  </si>
  <si>
    <t>Xây dựng cơ sở hạ tầng thích ứng với biến đổi khí hậu cho đồng bào dân tộc thiểu số - (CRIEM), tỉnh Quảng Trị</t>
  </si>
  <si>
    <t>Dự án Phát triển đô thị ven biển miền Trung hướng tới tăng trưởng xanh và ứng phó biến đổi khí hậu thành phố Đông Hà</t>
  </si>
  <si>
    <t>Dự án đã được Hội đồng nhân dân tỉnh phê duyệt chủ trương đầu tư</t>
  </si>
  <si>
    <t>PHƯƠNG ÁN ĐIỀU CHỈNH, BỔ SUNG KẾ HOẠCH VỐN ĐẦU TƯ CÔNG TRUNG HẠN GIAI ĐOẠN 2021-2025</t>
  </si>
  <si>
    <t>Phương án ứng vốn quỹ phát triển đất</t>
  </si>
  <si>
    <t>Danh mục công trình</t>
  </si>
  <si>
    <t>KH2021-2025</t>
  </si>
  <si>
    <t>Vốn ứng quỹ phát triển đất</t>
  </si>
  <si>
    <t>Nguồn thu từ đấu giá QSD đất ở</t>
  </si>
  <si>
    <t xml:space="preserve">Tổng số </t>
  </si>
  <si>
    <t>Ứng vốn để thực hiện GPMB</t>
  </si>
  <si>
    <t>Khu đô thị Bắc sông Hiếu giai đoạn 2</t>
  </si>
  <si>
    <t>Khu đô thị Tân Vĩnh</t>
  </si>
  <si>
    <t>Đường ven biển kết nối với hành lang kinh tế Đông Tây tỉnh Quảng Trị - giai đoạn 1</t>
  </si>
  <si>
    <t>2940/QĐ-UBND
ngày 16/11/2022</t>
  </si>
  <si>
    <t>628/QĐ-UBND ngày 31/3/2017</t>
  </si>
  <si>
    <t>115/NQ-HĐND 30/8/2021</t>
  </si>
  <si>
    <t>106/NQ-HĐND ngày 09/12/2020</t>
  </si>
  <si>
    <t>125/NQ-HĐND 30/8/2021</t>
  </si>
  <si>
    <t>NGUỒN VỐN ĐẤU GIÁ ĐẤT DO TỈNH QUẢN LÝ</t>
  </si>
  <si>
    <t>III.1</t>
  </si>
  <si>
    <t>NGUỒN NGÂN SÁCH TRUNG ƯƠNG</t>
  </si>
  <si>
    <t>VỐN TRONG NƯỚC</t>
  </si>
  <si>
    <t>III.2</t>
  </si>
  <si>
    <t>VỐN ODA VÀ VỐN VAY ƯU ĐÃI CỦA CÁC NHÀ TÀI TRỢ NƯỚC NGOÀI</t>
  </si>
  <si>
    <t>Trình Hội đồng nhân dân tỉnh cho ý kiến dự kiến phương án để trình Thủ tướng Chính phủ quyết định điều chỉnh</t>
  </si>
  <si>
    <t>Điều chỉnh cơ cấu nguồn vốn đầu tư thực hiện một phần từ NSTW</t>
  </si>
  <si>
    <t xml:space="preserve">Xóa phòng học tạm, phòng học mượn, cải tạo nâng cấp các trường dân tộc nội trú, bán trú trên địa bàn tỉnh và xây dựng Trường THPT Hướng Hóa </t>
  </si>
  <si>
    <t>72/NQ-HĐND ngày 25/6/2021</t>
  </si>
  <si>
    <t>Dự án điều chỉnh tăng tổng mức đầu tư</t>
  </si>
  <si>
    <t>Bổ sung để đẩy nhanh tiến độ hoàn thành dự án do  nguồn thu của tỉnh không đạt</t>
  </si>
  <si>
    <t>38/NQ-HĐND ngày 14/7/2022</t>
  </si>
  <si>
    <t>Tại các Thông báo: số 421-TB/TU ngày 15/2/2023, số 439-TB/TU ngày 01/3/2023, số 447-TB/TU ngày 17/3/2023, số 448-TB/TU ngày 16/3/2023, số 452-TB/TU ngày 17/3/2023, số 449-TB/TU ngày 17/3/2023, số 453-TB/TU ngày 17/3/2023, số 462-TB/TU ngày 23/3/2023, số 476-TB/TU ngày 31/3/2023, số 488-TB/TU ngày 25/4/2023 của Tỉnh ủy</t>
  </si>
  <si>
    <t>-nt-</t>
  </si>
  <si>
    <t>Giãn tiến độ bố trí vốn để phù hợp với tình hình thực hiện nguồn thu</t>
  </si>
  <si>
    <t>hủy</t>
  </si>
  <si>
    <t>Dự án Xây dựng Trung tâm bảo trợ xã hội và phục hồi chức năng dành cho người khuyết tật tỉnh Quảng Trị</t>
  </si>
  <si>
    <t>Bảo tồn, tôn tạo, nâng cấp các di tích lịch sử cách mạng trọng điểm của tỉnh (hạng mục: Khu lưu niệm TBT Lê Duẩn, Bảo tàng Thành Cổ, địa đạo Vịnh Mốc)</t>
  </si>
  <si>
    <t>71/NQ-HĐND ngày 25/6/2021</t>
  </si>
  <si>
    <t>Xây dựng trường quay chuyên nghiệp quy mô 250 chỗ và trường quay ngoài trời - Đài Phát thanh Truyền hình Quảng Trị</t>
  </si>
  <si>
    <t>20/NQ-HĐND ngày 12/5/2021</t>
  </si>
  <si>
    <t>Giãn tiến độ bố trí vốn sang giai đoạn 2026-2030 để phù hợp với tình hình thực hiện của dự án</t>
  </si>
  <si>
    <t>Dự án Phát triển các đô thị dọc hành lang tiểu vùng sông Mê Kông</t>
  </si>
  <si>
    <t>2830/QĐ-UBND ngày 04/11/2016
1073/QĐ-UBND 13/5/2019</t>
  </si>
  <si>
    <t>Dự án sẽ đóng Hiệp định vào ngày 31/12/2023; một số đoạn tuyến bị vướng mắc GPMB không thực hiện được; điều chuyển số vốn không giải ngân hết sang cho dự án khác</t>
  </si>
  <si>
    <t>Hạ tầng cơ bản cho phát triển toàn diện tỉnh Quảng Trị</t>
  </si>
  <si>
    <t>HĐND tỉnh đã phê duyệt CTĐT</t>
  </si>
  <si>
    <t>Điều chỉnh tăng kế hoạch trung hạn đã giao</t>
  </si>
  <si>
    <t>(Kèm theo Báo cáo số            /BC-UBND ngày         tháng         năm 2023 của Ủy ban nhân dân tỉnh)</t>
  </si>
  <si>
    <t>Dự án tăng vốn (xin bổ sung từ ngân sách trung ương)</t>
  </si>
  <si>
    <t>Dự án tăng vốn (điều chỉnh nội bộ)</t>
  </si>
  <si>
    <t>Bổ sung để đẩy nhanh tiến độ hoàn thành dự án trong giai đoạn 2021-2025</t>
  </si>
  <si>
    <t>Điều chỉnh cơ cấu nguồn vốn đầu tư (từ nguồn vốn NSĐP điều chỉnh sang NSTW)</t>
  </si>
  <si>
    <t>63/NQ-HĐND ngày 19/7/2023</t>
  </si>
  <si>
    <t>Phát sinh chi phí đền bù, GPMB;
HĐND tỉnh đã phê duyệt điều chỉnh chủ trương đầu tư dự án</t>
  </si>
  <si>
    <t>Dự án đang hoàn thiện thủ tục quyết toán hoàn thành, giảm số vốn không có nhiệm vụ chi</t>
  </si>
  <si>
    <t>Dự án đã quyết toán hoàn thành tại Quyết định số 1830/QĐ-UBND ngày 12/7/2022 của UBND tỉnh, giảm số vốn không có nhiệm vụ chi</t>
  </si>
  <si>
    <t>Điều chuyển giảm vốn đấu giá đất; đồng thời bổ sung nguồn vốn NSTW để thực hiện hoàn thành dự án</t>
  </si>
  <si>
    <t>Điều chuyển giảm vốn đấu giá đất; đồng thời bổ sung nguồn vốn NSTW để đẩy nhanh tiến độ thực hiện dự án</t>
  </si>
  <si>
    <t>Thực hiện chào mừng các sự kiện, mục tiêu quan trọng của địa phương</t>
  </si>
  <si>
    <t>60/NQ-HĐND ngày 19/7/2023</t>
  </si>
  <si>
    <t>Dự án đã được Hội đồng nhân dân tỉnh phê duyệt chủ trương đầu tư
Kế hoạch 2021-2025 giao 64,21 tỷ đồng; trong đó: NSCĐ 22,21 tỷ đồng + Đấu giá đất 42 tỷ đồng</t>
  </si>
  <si>
    <t>Điều chuyển giảm vốn đấu giá đất; đồng thời bổ sung nguồn vốn NSĐP cân đối theo tiêu chí để thực hiện hoàn thành mục tiêu đề ra trong giai đoạn 2021-2025</t>
  </si>
  <si>
    <t>59/NQ-HĐND ngày 19/7/2023</t>
  </si>
  <si>
    <t>58/NQ-HĐND ngày 19/7/2023</t>
  </si>
  <si>
    <t>Cầu sông Hiếu và đường hai đầu cầu</t>
  </si>
  <si>
    <t xml:space="preserve">- Bổ sung để hoàn thành dự án
- HĐND tỉnh đã cho phép kéo dài thời gian thực hiện và giải ngân sang năm 2023 tại Nghị quyết số 67/NQ-HĐND ngày 19/7/2023 </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</si>
  <si>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(10,69 tỷ đồng) và khoản dư chưa dự kiến (1,075 tỷ đồng)</t>
  </si>
  <si>
    <t>896/QĐ-UBND ngày 26/5/2010
426/QĐ-UBND ngày 08/3/2017</t>
  </si>
  <si>
    <t>- Kế hoạch chưa giao tại Nghị quyết số 137/NQ-HĐND ngày 30/8/2021 là 222,565 tỷ đồng
- Nghị quyết số 62/NQ-HĐND ngày 18/10/2022 đã giao chi tiết 40,8 tỷ đồng
- Nghị quyết số 20/NQ-HĐND ngày 28/3/2023 đã giao chi tiết 48 tỷ đồng
- Kế hoạch còn lại là 133,765 tỷ đồng chưa giao chi tiết danh mục</t>
  </si>
  <si>
    <t>- Kế hoạch sau khi điều chỉnh giảm tổng nguồn trung hạn đã giao là 57 tỷ đồng
- Kế hoạch còn lại sau điều chỉnh là dự kiến của dự án Đường dân sinh kết nối khu phố 3 và khu phố 4, phường Đông Lễ, thành phố Đông Hà đã được HĐND tỉnh thông qua</t>
  </si>
  <si>
    <t>Điều chỉnh cơ cấu nguồn vốn đầu tư, trong đó: Trung ương hỗ trợ mục tiêu 40,649 tỷ đồng và ngân sách tỉnh 49,04 tỷ đồng</t>
  </si>
  <si>
    <t>Điều chuyển giảm vốn đấu giá đất; đồng thời bổ sung nguồn vốn NSĐP theo tiêu chí để thực hiện hoàn thành dự án</t>
  </si>
  <si>
    <t>KH năm: 17,396
Dự phòng khoảng 6 tỷ</t>
  </si>
  <si>
    <t>có thể giảm hết để bù vào dự phòng</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</si>
  <si>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(33,895 tỷ đồng), Xây dựng điểm cơ sở A11 theo đường cơ sở để tính chiều rộng lãnh hải trên vùng biển Việt Nam (30 tỷ đồng) và khoản dư chưa dự kiến (1,075 tỷ đồng)</t>
  </si>
  <si>
    <t>Báo cáo 103-BC/BCSĐ ngày 28/6/2023</t>
  </si>
  <si>
    <t>Báo cáo 103-BC/BCSĐ ngày 28/6/2023 báo cáo giảm 11,075 tỷ đồng</t>
  </si>
  <si>
    <t>Báo cáo 103-BC/BCSĐ ngày 28/6/2023 báo cáo giảm 31,256 tỷ đồng</t>
  </si>
  <si>
    <t>Báo cáo 103-BC/BCSĐ ngày 28/6/2023 (dự kiến)</t>
  </si>
  <si>
    <t>tăng TMĐT</t>
  </si>
  <si>
    <t>đẩy nhanh tiến độ</t>
  </si>
  <si>
    <t>Đường Lê Thánh Tông, thành phố Đông Hà</t>
  </si>
  <si>
    <t>đẩy nhanh tiến độ do nguồn thu chậm</t>
  </si>
  <si>
    <t>Dự phong NSĐP giảm so với phương án điều chỉnh NSTW</t>
  </si>
  <si>
    <t>Xử lý khắc phục điểm đen, tiềm ẩn tai nạn giao thông trên địa bàn tỉnh</t>
  </si>
  <si>
    <t>Đề án kinh tế ban đêm</t>
  </si>
  <si>
    <t>Đề án công an xã</t>
  </si>
  <si>
    <t>Cải tạo công an phường Đông Giang</t>
  </si>
  <si>
    <t>Kho vật chứng chưa pháo nổ</t>
  </si>
  <si>
    <t>Phòng hỏi cung</t>
  </si>
  <si>
    <t>Công an tỉnh</t>
  </si>
  <si>
    <t>CÁC DỰ ÁN KHÔNG CÂN ĐỐI ĐƯỢC</t>
  </si>
  <si>
    <t>Biểu số 01</t>
  </si>
  <si>
    <t>ĐIỀU CHỈNH, BỔ SUNG KẾ HOẠCH VỐN ĐẦU TƯ CÔNG TRUNG HẠN GIAI ĐOẠN 2021-2025</t>
  </si>
  <si>
    <t>NGUỒN VỐN ĐẦU TƯ TRONG CÂN ĐỐI PHÂN CẤP DO CẤP TỈNH QUẢN LÝ</t>
  </si>
  <si>
    <t>Trong đó: NSĐP</t>
  </si>
  <si>
    <t>Điều chỉnh kế hoạch</t>
  </si>
  <si>
    <t>Biểu số 02</t>
  </si>
  <si>
    <t>NGUỒN THU THỪ ĐẤU GIÁ QUYỀN SỬ DỤNG ĐẤT Ở TẠI THÀNH PHỐ ĐÔNG HÀ</t>
  </si>
  <si>
    <t>A</t>
  </si>
  <si>
    <t>B</t>
  </si>
  <si>
    <t>NGUỒN ĐẤU GIÁ, ĐẤU THẦU CÁC KHU ĐẤT CHO NHÀ ĐẦU TƯ SỬ DỤNG</t>
  </si>
  <si>
    <t>Điều chỉnh giảm tổng nguồn kế hoạch trung hạn đã giao</t>
  </si>
  <si>
    <t>C</t>
  </si>
  <si>
    <t>Kế hoạch trung hạn 2021-2025 đã giao</t>
  </si>
  <si>
    <t>Biểu số 03</t>
  </si>
  <si>
    <t>NGUỒN VỐN XỔ SỐ KIẾN THIẾT</t>
  </si>
  <si>
    <t xml:space="preserve">Nhà hiệu bộ Trường Cao đẳng Y tế </t>
  </si>
  <si>
    <t>Nhà hiệu bộ và các hạng mục phụ trợ Trường THPT Nguyễn Hữu Thận</t>
  </si>
  <si>
    <t>Trường THCS&amp;THPT Cồn Tiên, huyện Gio Linh</t>
  </si>
  <si>
    <t>Trường THCS&amp;THPT Bến Quan, huyện Vĩnh Linh, Hạng mục: Nhà học thực hành</t>
  </si>
  <si>
    <t>2511/QĐ-UBND ngày 30/10/2018</t>
  </si>
  <si>
    <t>2508/QĐ-UBND 30/10/2018</t>
  </si>
  <si>
    <t>1334/QĐ-UBND ngày 28/5/2021</t>
  </si>
  <si>
    <t>1335/QĐ-UBND ngày 28/5/2021</t>
  </si>
  <si>
    <t>Dự án đã hoàn thành, kế hoạch vốn còn lại không có nhu cầu sử dụng</t>
  </si>
  <si>
    <t>Dự án hoàn thành trong năm 2023, kế hoạch vốn còn lại dự kiến không có nhu cầu sử dụng</t>
  </si>
  <si>
    <t>Hội trường Sở Giáo dục và Đào tạo</t>
  </si>
  <si>
    <t>2509/QĐ-UBND ngày 30/10/2018</t>
  </si>
  <si>
    <t>Trang thiết bị dạy học Trường THPT Chuyên Lê Quý Đôn</t>
  </si>
  <si>
    <t>4082/QĐ-UBND ngày 08/12/2021</t>
  </si>
  <si>
    <t>Trường THPT Chế Lan Viên; hạng mục Nhà đa năng</t>
  </si>
  <si>
    <t>Trường THPT Lê Thế Hiếu; hạng mục Nhà đa năng</t>
  </si>
  <si>
    <t xml:space="preserve">Trường Tiểu học Hàm Nghi, TP Đông Hà. Hạng mục: Nhà hiệu bộ </t>
  </si>
  <si>
    <t>Cải tạo, nâng cấp Bệnh viện chuyên khoa Lao và Bệnh phổi; hạng mục: Xây mới khoa điều trị dịch bệnh nguy hiểm, nhà cầu nối và cải tạo sửa chửa một số hạng mục khác</t>
  </si>
  <si>
    <t>Sân vận động huyện Hải Lăng</t>
  </si>
  <si>
    <t>774/QĐ-UBND, ngày 13/5/2019</t>
  </si>
  <si>
    <t>848/QĐ-UBND, ngày 16/5/2019</t>
  </si>
  <si>
    <t>2820/QĐ-UBND ngày 30/9/2021</t>
  </si>
  <si>
    <t>08a/NQ-HĐND ngày 23/6/2021 của huyện HL</t>
  </si>
  <si>
    <t>Dự án bị vướng 3,14 ha rừng tự nhiên chưa được chuyển mục đích sử dụng rừng tự nhiên sang mục đích khác nên không thể triển khai thực hiện</t>
  </si>
  <si>
    <t>4</t>
  </si>
  <si>
    <t>Sân thể dục thể thao và các hạng mục phụ trợ, huyện Hải Lăng</t>
  </si>
  <si>
    <t>Nhà ở vận động viên năng khiếu tỉnh</t>
  </si>
  <si>
    <t>Hỗ trợ xây dựng Nông thôn mới</t>
  </si>
  <si>
    <t>Huyện Hải Lăng</t>
  </si>
  <si>
    <t>Huyện Triệu Phong</t>
  </si>
  <si>
    <t>Huyện Vĩnh Linh</t>
  </si>
  <si>
    <t>Huyện Gio Linh</t>
  </si>
  <si>
    <t>19/NQ-HĐND ngày 27/7/2023 của huyện HL</t>
  </si>
  <si>
    <t>Hỗ trợ thiết chế thể thao văn hóa để huyện về đích NTM, thay cho dự án Sân vận động huyện Hải Lăng</t>
  </si>
  <si>
    <t>Điều chuyển giảm vốn đấu giá đất; đồng thời bổ sung nguồn vốn XSKT để thực hiện hoàn thành dự án</t>
  </si>
  <si>
    <t>126/NQ-HĐND ngày 30/8/2021
3834/QĐ-UBND ngày 29/11/2021</t>
  </si>
  <si>
    <t>Dự án điều chỉnh tăng TMĐT để bổ sung thêm một số thiết bị nhằm phục vụ công tác giảng dạy, bồi dưỡng đội tuyển và đảm bảo điều kiện tổ chức các hoạt động của Trường Lê Quý Đôn và toàn ngành
Trình HĐND tỉnh phê duyệt điều chỉnh chủ trương đầu tư</t>
  </si>
  <si>
    <t>Tăng</t>
  </si>
  <si>
    <t>Giảm</t>
  </si>
  <si>
    <t>3002/QĐ-UBND ngày 29/12/2020
của Tp Đông Hà</t>
  </si>
  <si>
    <t>- Kế hoạch sau khi điều chỉnh giảm tổng nguồn trung hạn đã giao là 64,22 tỷ đồng
- Kế hoạch còn lại sau điều chỉnh bao gồm 15 tỷ đồng dự kiến của dự án Đường dân sinh kết nối khu phố 3 và khu phố 4, phường Đông Lễ, thành phố Đông Hà đã được HĐND tỉnh thông qua</t>
  </si>
  <si>
    <t>Thực hiện chào mừng các sự kiện, mục tiêu quan trọng của địa phương theo các Thông báo kết luận của Tỉnh ủy</t>
  </si>
  <si>
    <t>Điều chỉnh tăng tổng nguồn kế hoạch trung hạn đã giao</t>
  </si>
  <si>
    <t>Năm 2021</t>
  </si>
  <si>
    <t>Năm 2022</t>
  </si>
  <si>
    <t>Năm 2023</t>
  </si>
  <si>
    <t>Năm 2024</t>
  </si>
  <si>
    <t>Năm 2025</t>
  </si>
  <si>
    <t>(Kèm theo Nghị quyết số       /NQ-HĐND ngày 24 tháng 10 năm 2023 của Hội đồng nhân dân tỉnh)</t>
  </si>
  <si>
    <t>Đơn vị tính: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</si>
</sst>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_(* #,##0_);_(* \(#,##0\);_(* &quot;-&quot;??_);_(@_)"/>
    <numFmt numFmtId="167" formatCode="_(* #,##0.0_);_(* \(#,##0.0\);_(* &quot;-&quot;?_);_(@_)"/>
    <numFmt numFmtId="168" formatCode="#,##0.0000"/>
    <numFmt numFmtId="169" formatCode="_-* #,##0.00\ _€_-;\-* #,##0.00\ _€_-;_-* &quot;-&quot;??\ _€_-;_-@_-"/>
    <numFmt numFmtId="170" formatCode="_-* #,##0\ _€_-;\-* #,##0\ _€_-;_-* &quot;-&quot;??\ _€_-;_-@_-"/>
  </numFmts>
  <fonts count="20"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b/>
      <sz val="11"/>
      <color theme="1"/>
      <name val="Times New Roman"/>
      <family val="1"/>
    </font>
    <font>
      <sz val="11"/>
      <color theme="1"/>
      <name val="Times New Roman"/>
      <family val="1"/>
    </font>
    <font>
      <b/>
      <sz val="9"/>
      <color indexed="81"/>
      <name val="Tahoma"/>
      <family val="2"/>
    </font>
    <font>
      <sz val="9"/>
      <color indexed="81"/>
      <name val="Tahoma"/>
      <family val="2"/>
    </font>
    <font>
      <sz val="11"/>
      <color indexed="8"/>
      <name val="Calibri"/>
      <family val="2"/>
    </font>
    <font>
      <sz val="12"/>
      <color rgb="FFFF0000"/>
      <name val="Times New Roman"/>
      <family val="1"/>
    </font>
    <font>
      <b/>
      <sz val="12"/>
      <color rgb="FFFF0000"/>
      <name val="Times New Roman"/>
      <family val="1"/>
    </font>
    <font>
      <b/>
      <i/>
      <sz val="12"/>
      <color rgb="FFFF0000"/>
      <name val="Times New Roman"/>
      <family val="1"/>
    </font>
    <font>
      <sz val="14"/>
      <name val="Times New Roman"/>
      <family val="1"/>
    </font>
    <font>
      <sz val="8"/>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4" fontId="3" fillId="0" borderId="0" applyFont="0" applyFill="0" applyBorder="0" applyAlignment="0" applyProtection="0"/>
    <xf numFmtId="0" fontId="4" fillId="0" borderId="0"/>
    <xf numFmtId="0" fontId="4" fillId="0" borderId="0"/>
    <xf numFmtId="0" fontId="2" fillId="0" borderId="0"/>
    <xf numFmtId="0" fontId="9" fillId="0" borderId="0"/>
    <xf numFmtId="164" fontId="2" fillId="0" borderId="0" applyFont="0" applyFill="0" applyBorder="0" applyAlignment="0" applyProtection="0"/>
    <xf numFmtId="0" fontId="6" fillId="0" borderId="0"/>
    <xf numFmtId="164" fontId="14" fillId="0" borderId="0" applyFont="0" applyFill="0" applyBorder="0" applyAlignment="0" applyProtection="0"/>
    <xf numFmtId="169" fontId="6" fillId="0" borderId="0" applyFont="0" applyFill="0" applyBorder="0" applyAlignment="0" applyProtection="0"/>
    <xf numFmtId="0" fontId="1" fillId="0" borderId="0"/>
    <xf numFmtId="0" fontId="1" fillId="0" borderId="0"/>
    <xf numFmtId="0" fontId="18" fillId="0" borderId="0"/>
    <xf numFmtId="164" fontId="6" fillId="0" borderId="0" applyFont="0" applyFill="0" applyBorder="0" applyAlignment="0" applyProtection="0"/>
  </cellStyleXfs>
  <cellXfs count="168">
    <xf numFmtId="0" fontId="0" fillId="0" borderId="0" xfId="0"/>
    <xf numFmtId="166" fontId="5" fillId="0" borderId="1" xfId="1" applyNumberFormat="1" applyFont="1" applyFill="1" applyBorder="1" applyAlignment="1">
      <alignment vertical="center" wrapText="1"/>
    </xf>
    <xf numFmtId="166" fontId="6" fillId="0" borderId="1" xfId="1" applyNumberFormat="1" applyFont="1" applyFill="1" applyBorder="1" applyAlignment="1">
      <alignment vertical="center" wrapText="1"/>
    </xf>
    <xf numFmtId="166" fontId="5" fillId="0" borderId="1" xfId="1" applyNumberFormat="1" applyFont="1" applyFill="1" applyBorder="1" applyAlignment="1">
      <alignment horizontal="center" vertical="center" wrapText="1"/>
    </xf>
    <xf numFmtId="166" fontId="6" fillId="0" borderId="1" xfId="1" quotePrefix="1" applyNumberFormat="1" applyFont="1" applyFill="1" applyBorder="1" applyAlignment="1">
      <alignment horizontal="center" vertical="center" wrapText="1"/>
    </xf>
    <xf numFmtId="166" fontId="5" fillId="0" borderId="1" xfId="1" quotePrefix="1" applyNumberFormat="1" applyFont="1" applyFill="1" applyBorder="1" applyAlignment="1">
      <alignment horizontal="center" vertical="center" wrapText="1"/>
    </xf>
    <xf numFmtId="0" fontId="11" fillId="0" borderId="0" xfId="4" applyFont="1"/>
    <xf numFmtId="0" fontId="10" fillId="0" borderId="1" xfId="4" applyFont="1" applyBorder="1" applyAlignment="1">
      <alignment horizontal="center" wrapText="1"/>
    </xf>
    <xf numFmtId="0" fontId="10" fillId="0" borderId="1" xfId="4" applyFont="1" applyBorder="1" applyAlignment="1">
      <alignment horizontal="center" vertical="center" wrapText="1"/>
    </xf>
    <xf numFmtId="0" fontId="10" fillId="0" borderId="0" xfId="4" applyFont="1" applyAlignment="1">
      <alignment wrapText="1"/>
    </xf>
    <xf numFmtId="0" fontId="10" fillId="2" borderId="1" xfId="4" applyFont="1" applyFill="1" applyBorder="1" applyAlignment="1">
      <alignment horizontal="center" vertical="center" wrapText="1"/>
    </xf>
    <xf numFmtId="166" fontId="10" fillId="0" borderId="1" xfId="4" applyNumberFormat="1" applyFont="1" applyBorder="1" applyAlignment="1">
      <alignment horizontal="center" vertical="center" wrapText="1"/>
    </xf>
    <xf numFmtId="0" fontId="10" fillId="0" borderId="1" xfId="4" applyFont="1" applyBorder="1" applyAlignment="1">
      <alignment horizontal="left" vertical="center" wrapText="1"/>
    </xf>
    <xf numFmtId="166" fontId="5" fillId="0" borderId="1" xfId="6" applyNumberFormat="1" applyFont="1" applyFill="1" applyBorder="1" applyAlignment="1">
      <alignment vertical="center" wrapText="1"/>
    </xf>
    <xf numFmtId="0" fontId="11" fillId="0" borderId="1" xfId="4" quotePrefix="1" applyFont="1" applyBorder="1" applyAlignment="1">
      <alignment horizontal="center" vertical="center" wrapText="1"/>
    </xf>
    <xf numFmtId="0" fontId="11" fillId="0" borderId="1" xfId="4" quotePrefix="1" applyFont="1" applyBorder="1" applyAlignment="1">
      <alignment horizontal="left" vertical="center" wrapText="1"/>
    </xf>
    <xf numFmtId="166" fontId="6" fillId="0" borderId="1" xfId="6" applyNumberFormat="1" applyFont="1" applyFill="1" applyBorder="1" applyAlignment="1">
      <alignment vertical="center" wrapText="1"/>
    </xf>
    <xf numFmtId="0" fontId="11" fillId="0" borderId="1" xfId="4" applyFont="1" applyBorder="1" applyAlignment="1">
      <alignment wrapText="1"/>
    </xf>
    <xf numFmtId="166" fontId="11" fillId="0" borderId="0" xfId="4" applyNumberFormat="1" applyFont="1" applyAlignment="1">
      <alignment wrapText="1"/>
    </xf>
    <xf numFmtId="0" fontId="11" fillId="0" borderId="0" xfId="4" applyFont="1" applyAlignment="1">
      <alignment wrapText="1"/>
    </xf>
    <xf numFmtId="166" fontId="11" fillId="0" borderId="0" xfId="4" applyNumberFormat="1" applyFont="1"/>
    <xf numFmtId="0" fontId="11" fillId="0" borderId="1" xfId="4" applyFont="1" applyBorder="1" applyAlignment="1">
      <alignment horizontal="center"/>
    </xf>
    <xf numFmtId="0" fontId="11" fillId="0" borderId="1" xfId="4" applyFont="1" applyBorder="1"/>
    <xf numFmtId="0" fontId="11" fillId="0" borderId="0" xfId="4" applyFont="1" applyAlignment="1">
      <alignment horizontal="center"/>
    </xf>
    <xf numFmtId="3" fontId="6" fillId="0" borderId="2" xfId="8" applyNumberFormat="1" applyFont="1" applyFill="1" applyBorder="1" applyAlignment="1">
      <alignment horizontal="right" vertical="center" wrapText="1"/>
    </xf>
    <xf numFmtId="3" fontId="6" fillId="0" borderId="0" xfId="0" applyNumberFormat="1" applyFont="1" applyAlignment="1">
      <alignment vertical="center" wrapText="1"/>
    </xf>
    <xf numFmtId="0" fontId="6" fillId="0" borderId="0" xfId="0" applyFont="1" applyAlignment="1">
      <alignment vertical="center" wrapText="1"/>
    </xf>
    <xf numFmtId="1" fontId="6" fillId="0" borderId="0" xfId="2" applyNumberFormat="1" applyFont="1" applyAlignment="1">
      <alignment horizontal="center" vertical="center" wrapText="1"/>
    </xf>
    <xf numFmtId="1" fontId="6" fillId="0" borderId="0" xfId="2" applyNumberFormat="1" applyFont="1" applyAlignment="1">
      <alignment vertical="center" wrapText="1"/>
    </xf>
    <xf numFmtId="3" fontId="6" fillId="0" borderId="1" xfId="0"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168" fontId="5" fillId="0" borderId="1" xfId="0" applyNumberFormat="1" applyFont="1" applyBorder="1" applyAlignment="1">
      <alignment horizontal="center" vertical="center" wrapText="1"/>
    </xf>
    <xf numFmtId="168" fontId="5" fillId="0" borderId="0" xfId="0" applyNumberFormat="1" applyFont="1" applyAlignment="1">
      <alignment vertical="center" wrapText="1"/>
    </xf>
    <xf numFmtId="3" fontId="5" fillId="0" borderId="0" xfId="0" applyNumberFormat="1" applyFont="1" applyAlignment="1">
      <alignment vertical="center" wrapText="1"/>
    </xf>
    <xf numFmtId="0" fontId="5" fillId="0" borderId="0" xfId="0" applyFont="1" applyAlignment="1">
      <alignment vertical="center" wrapText="1"/>
    </xf>
    <xf numFmtId="1" fontId="5" fillId="0" borderId="1" xfId="2" applyNumberFormat="1" applyFont="1" applyBorder="1" applyAlignment="1">
      <alignment horizontal="center" vertical="center" wrapText="1"/>
    </xf>
    <xf numFmtId="0" fontId="5" fillId="0" borderId="1" xfId="0" applyFont="1" applyBorder="1" applyAlignment="1">
      <alignment horizontal="left" vertical="center" wrapText="1"/>
    </xf>
    <xf numFmtId="1" fontId="8" fillId="0" borderId="1" xfId="2" applyNumberFormat="1" applyFont="1" applyBorder="1" applyAlignment="1">
      <alignment vertical="center" wrapText="1"/>
    </xf>
    <xf numFmtId="1" fontId="6" fillId="0" borderId="1" xfId="2" applyNumberFormat="1" applyFont="1" applyBorder="1" applyAlignment="1">
      <alignment horizontal="center" vertical="center"/>
    </xf>
    <xf numFmtId="3" fontId="6" fillId="0" borderId="1" xfId="3" quotePrefix="1" applyNumberFormat="1" applyFont="1" applyBorder="1" applyAlignment="1">
      <alignment vertical="center" wrapText="1"/>
    </xf>
    <xf numFmtId="3" fontId="6" fillId="0" borderId="1" xfId="2"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1" xfId="2" applyNumberFormat="1" applyFont="1" applyBorder="1" applyAlignment="1">
      <alignment horizontal="left" vertical="center" wrapText="1"/>
    </xf>
    <xf numFmtId="1" fontId="6" fillId="0" borderId="1" xfId="2" applyNumberFormat="1" applyFont="1" applyBorder="1" applyAlignment="1">
      <alignment horizontal="center" vertical="center" wrapText="1"/>
    </xf>
    <xf numFmtId="0" fontId="6" fillId="0" borderId="1" xfId="0" applyFont="1" applyBorder="1" applyAlignment="1">
      <alignment vertical="center" wrapText="1"/>
    </xf>
    <xf numFmtId="1" fontId="6" fillId="0" borderId="1" xfId="2" applyNumberFormat="1"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vertical="center" wrapText="1"/>
    </xf>
    <xf numFmtId="0" fontId="15" fillId="0" borderId="0" xfId="0" applyFont="1" applyAlignment="1">
      <alignment vertical="center" wrapText="1"/>
    </xf>
    <xf numFmtId="1" fontId="6" fillId="0" borderId="1" xfId="2" quotePrefix="1" applyNumberFormat="1" applyFont="1" applyBorder="1" applyAlignment="1">
      <alignment horizontal="left" vertical="center" wrapText="1"/>
    </xf>
    <xf numFmtId="3" fontId="6" fillId="0" borderId="1" xfId="2" quotePrefix="1" applyNumberFormat="1" applyFont="1" applyBorder="1" applyAlignment="1">
      <alignment horizontal="left" vertical="center" wrapText="1"/>
    </xf>
    <xf numFmtId="3" fontId="6" fillId="0" borderId="2" xfId="2" applyNumberFormat="1" applyFont="1" applyBorder="1" applyAlignment="1">
      <alignment horizontal="right" vertical="center" wrapText="1"/>
    </xf>
    <xf numFmtId="3" fontId="6" fillId="0" borderId="2" xfId="2" applyNumberFormat="1" applyFont="1" applyBorder="1" applyAlignment="1">
      <alignment horizontal="right" vertical="center"/>
    </xf>
    <xf numFmtId="0" fontId="6" fillId="0" borderId="1" xfId="0" quotePrefix="1" applyFont="1" applyBorder="1" applyAlignment="1">
      <alignment horizontal="left" vertical="center" wrapText="1"/>
    </xf>
    <xf numFmtId="1" fontId="8" fillId="0" borderId="1" xfId="2" applyNumberFormat="1" applyFont="1" applyBorder="1" applyAlignment="1">
      <alignment horizontal="center" vertical="center"/>
    </xf>
    <xf numFmtId="3" fontId="8" fillId="0" borderId="1" xfId="2"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0" fontId="8" fillId="0" borderId="0" xfId="0" applyFont="1" applyAlignment="1">
      <alignment vertical="center" wrapText="1"/>
    </xf>
    <xf numFmtId="0" fontId="6" fillId="0" borderId="1" xfId="4" applyFont="1" applyBorder="1" applyAlignment="1">
      <alignment horizontal="center" vertical="center" wrapText="1"/>
    </xf>
    <xf numFmtId="0" fontId="6" fillId="0" borderId="1" xfId="0" quotePrefix="1" applyFont="1" applyBorder="1" applyAlignment="1">
      <alignment horizontal="center" vertical="center" wrapText="1"/>
    </xf>
    <xf numFmtId="1" fontId="5" fillId="0" borderId="1" xfId="2" applyNumberFormat="1" applyFont="1" applyBorder="1" applyAlignment="1">
      <alignment vertical="center" wrapText="1"/>
    </xf>
    <xf numFmtId="3" fontId="5" fillId="0" borderId="1" xfId="0" applyNumberFormat="1" applyFont="1" applyBorder="1" applyAlignment="1">
      <alignment vertical="center" wrapText="1"/>
    </xf>
    <xf numFmtId="3" fontId="5" fillId="0" borderId="1" xfId="0" applyNumberFormat="1" applyFont="1" applyBorder="1" applyAlignment="1">
      <alignment horizontal="left" vertical="center" wrapText="1"/>
    </xf>
    <xf numFmtId="3" fontId="5" fillId="0" borderId="1" xfId="2" applyNumberFormat="1" applyFont="1" applyBorder="1" applyAlignment="1">
      <alignment horizontal="center" vertical="center" wrapText="1"/>
    </xf>
    <xf numFmtId="1" fontId="8" fillId="0" borderId="1" xfId="2" applyNumberFormat="1" applyFont="1" applyBorder="1" applyAlignment="1">
      <alignment horizontal="center" vertical="center" wrapText="1"/>
    </xf>
    <xf numFmtId="3" fontId="8" fillId="0" borderId="1" xfId="0" applyNumberFormat="1" applyFont="1" applyBorder="1" applyAlignment="1">
      <alignment horizontal="left" vertical="center" wrapText="1"/>
    </xf>
    <xf numFmtId="3" fontId="8" fillId="0" borderId="1" xfId="2" applyNumberFormat="1" applyFont="1" applyBorder="1" applyAlignment="1">
      <alignment horizontal="center" vertical="center" wrapText="1"/>
    </xf>
    <xf numFmtId="1" fontId="6" fillId="0" borderId="1" xfId="2" quotePrefix="1" applyNumberFormat="1" applyFont="1" applyBorder="1" applyAlignment="1">
      <alignment vertical="center" wrapText="1"/>
    </xf>
    <xf numFmtId="3" fontId="6" fillId="0" borderId="1" xfId="2" applyNumberFormat="1" applyFont="1" applyBorder="1" applyAlignment="1">
      <alignment horizontal="right" vertical="center"/>
    </xf>
    <xf numFmtId="3" fontId="6" fillId="0" borderId="1" xfId="0" applyNumberFormat="1" applyFont="1" applyBorder="1" applyAlignment="1">
      <alignment horizontal="right" vertical="center"/>
    </xf>
    <xf numFmtId="166" fontId="6" fillId="0" borderId="1" xfId="0" applyNumberFormat="1" applyFont="1" applyBorder="1" applyAlignment="1">
      <alignment vertical="center" wrapText="1"/>
    </xf>
    <xf numFmtId="167" fontId="6" fillId="0" borderId="1" xfId="0" applyNumberFormat="1" applyFont="1" applyBorder="1" applyAlignment="1">
      <alignment vertical="center" wrapText="1"/>
    </xf>
    <xf numFmtId="0" fontId="6" fillId="0" borderId="1" xfId="0" quotePrefix="1" applyFont="1" applyBorder="1" applyAlignment="1">
      <alignment vertical="center" wrapText="1"/>
    </xf>
    <xf numFmtId="0" fontId="5" fillId="0" borderId="1" xfId="0" quotePrefix="1" applyFont="1" applyBorder="1" applyAlignment="1">
      <alignment vertical="center" wrapText="1"/>
    </xf>
    <xf numFmtId="0" fontId="5" fillId="0" borderId="1" xfId="0" applyFont="1" applyBorder="1" applyAlignment="1">
      <alignment vertical="center" wrapText="1"/>
    </xf>
    <xf numFmtId="166" fontId="5" fillId="0" borderId="1" xfId="0" applyNumberFormat="1" applyFont="1" applyBorder="1" applyAlignment="1">
      <alignment vertical="center" wrapText="1"/>
    </xf>
    <xf numFmtId="3" fontId="8" fillId="0" borderId="1" xfId="2" applyNumberFormat="1" applyFont="1" applyBorder="1" applyAlignment="1">
      <alignment vertical="center" wrapText="1"/>
    </xf>
    <xf numFmtId="3" fontId="6" fillId="0" borderId="1" xfId="2" applyNumberFormat="1" applyFont="1" applyBorder="1" applyAlignment="1">
      <alignment vertical="center" wrapText="1"/>
    </xf>
    <xf numFmtId="1" fontId="8" fillId="0" borderId="1" xfId="2" applyNumberFormat="1" applyFont="1" applyBorder="1" applyAlignment="1">
      <alignment horizontal="left" vertical="center" wrapText="1"/>
    </xf>
    <xf numFmtId="1" fontId="5" fillId="0" borderId="1" xfId="2" quotePrefix="1" applyNumberFormat="1" applyFont="1" applyBorder="1" applyAlignment="1">
      <alignment vertical="center" wrapText="1"/>
    </xf>
    <xf numFmtId="165" fontId="6" fillId="0" borderId="1" xfId="2"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8" fontId="5" fillId="0" borderId="1" xfId="0" applyNumberFormat="1" applyFont="1" applyBorder="1" applyAlignment="1">
      <alignment horizontal="right" vertical="center" wrapText="1"/>
    </xf>
    <xf numFmtId="0" fontId="6" fillId="0" borderId="1" xfId="5" applyFont="1" applyBorder="1" applyAlignment="1">
      <alignment horizontal="left" vertical="center" wrapText="1"/>
    </xf>
    <xf numFmtId="3" fontId="6" fillId="0" borderId="1" xfId="5" applyNumberFormat="1" applyFont="1" applyBorder="1" applyAlignment="1">
      <alignment horizontal="center" vertical="center" wrapText="1"/>
    </xf>
    <xf numFmtId="3" fontId="6" fillId="0" borderId="1" xfId="5" applyNumberFormat="1" applyFont="1" applyBorder="1" applyAlignment="1">
      <alignment horizontal="right" vertical="center" wrapText="1"/>
    </xf>
    <xf numFmtId="3" fontId="5" fillId="0" borderId="1" xfId="5" applyNumberFormat="1" applyFont="1" applyBorder="1" applyAlignment="1">
      <alignment horizontal="center" vertical="center" wrapText="1"/>
    </xf>
    <xf numFmtId="3" fontId="5" fillId="0" borderId="1" xfId="5" applyNumberFormat="1" applyFont="1" applyBorder="1" applyAlignment="1">
      <alignment horizontal="right" vertical="center" wrapText="1"/>
    </xf>
    <xf numFmtId="168" fontId="5" fillId="0" borderId="1" xfId="5" applyNumberFormat="1" applyFont="1" applyBorder="1" applyAlignment="1">
      <alignment horizontal="right" vertical="center" wrapText="1"/>
    </xf>
    <xf numFmtId="3" fontId="6" fillId="0" borderId="1" xfId="3" applyNumberFormat="1" applyFont="1" applyBorder="1" applyAlignment="1">
      <alignment horizontal="center" vertical="center" wrapText="1"/>
    </xf>
    <xf numFmtId="3" fontId="6" fillId="0" borderId="1" xfId="2" quotePrefix="1"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8" fontId="6" fillId="0" borderId="1" xfId="0" applyNumberFormat="1" applyFont="1" applyBorder="1" applyAlignment="1">
      <alignment horizontal="right" vertical="center" wrapText="1"/>
    </xf>
    <xf numFmtId="3" fontId="6" fillId="0" borderId="1" xfId="3" quotePrefix="1" applyNumberFormat="1" applyFont="1" applyBorder="1" applyAlignment="1">
      <alignment horizontal="center" vertical="center" wrapText="1"/>
    </xf>
    <xf numFmtId="3" fontId="8" fillId="0" borderId="1" xfId="3" quotePrefix="1" applyNumberFormat="1" applyFont="1" applyBorder="1" applyAlignment="1">
      <alignment vertical="center" wrapText="1"/>
    </xf>
    <xf numFmtId="3" fontId="8" fillId="0" borderId="1" xfId="3" quotePrefix="1"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5" applyNumberFormat="1" applyFont="1" applyBorder="1" applyAlignment="1">
      <alignment horizontal="right" vertical="center" wrapText="1"/>
    </xf>
    <xf numFmtId="168" fontId="8" fillId="0" borderId="1" xfId="0" applyNumberFormat="1" applyFont="1" applyBorder="1" applyAlignment="1">
      <alignment horizontal="center" vertical="center" wrapText="1"/>
    </xf>
    <xf numFmtId="168"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6" fillId="0" borderId="0" xfId="0" applyFont="1" applyAlignment="1">
      <alignment horizontal="left" vertical="center" wrapText="1"/>
    </xf>
    <xf numFmtId="3" fontId="15" fillId="2" borderId="0" xfId="0" applyNumberFormat="1" applyFont="1" applyFill="1" applyAlignment="1">
      <alignment vertical="center" wrapText="1"/>
    </xf>
    <xf numFmtId="0" fontId="15" fillId="2" borderId="0" xfId="0" applyFont="1" applyFill="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1" xfId="0" applyFont="1" applyFill="1" applyBorder="1" applyAlignment="1">
      <alignment vertical="center" wrapText="1"/>
    </xf>
    <xf numFmtId="168"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vertical="center" wrapText="1"/>
    </xf>
    <xf numFmtId="166" fontId="15" fillId="2" borderId="1" xfId="0" applyNumberFormat="1" applyFont="1" applyFill="1" applyBorder="1" applyAlignment="1">
      <alignment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166" fontId="6" fillId="0" borderId="0" xfId="0" applyNumberFormat="1" applyFont="1" applyAlignment="1">
      <alignment vertical="center" wrapText="1"/>
    </xf>
    <xf numFmtId="3" fontId="6" fillId="0" borderId="1" xfId="0" applyNumberFormat="1" applyFont="1" applyBorder="1" applyAlignment="1">
      <alignment horizontal="left" vertical="center" wrapText="1"/>
    </xf>
    <xf numFmtId="1" fontId="6" fillId="0" borderId="1" xfId="2" applyNumberFormat="1" applyFont="1" applyBorder="1" applyAlignment="1">
      <alignment horizontal="left" vertical="center" wrapText="1"/>
    </xf>
    <xf numFmtId="3" fontId="6" fillId="0" borderId="2" xfId="0" applyNumberFormat="1" applyFont="1" applyBorder="1" applyAlignment="1">
      <alignment vertical="center" wrapText="1"/>
    </xf>
    <xf numFmtId="0" fontId="6" fillId="0" borderId="2" xfId="0" applyFont="1" applyBorder="1" applyAlignment="1">
      <alignment horizontal="center" vertical="center" wrapText="1"/>
    </xf>
    <xf numFmtId="3" fontId="6" fillId="0" borderId="2" xfId="7" applyNumberFormat="1" applyBorder="1" applyAlignment="1">
      <alignment vertical="center" wrapText="1"/>
    </xf>
    <xf numFmtId="170" fontId="8" fillId="0" borderId="2" xfId="9" applyNumberFormat="1" applyFont="1" applyFill="1" applyBorder="1" applyAlignment="1">
      <alignment horizontal="right" vertical="center" wrapText="1"/>
    </xf>
    <xf numFmtId="170" fontId="6" fillId="0" borderId="2" xfId="9" applyNumberFormat="1" applyFont="1" applyFill="1" applyBorder="1" applyAlignment="1">
      <alignment horizontal="right" vertical="center" wrapText="1"/>
    </xf>
    <xf numFmtId="3" fontId="6" fillId="0" borderId="2" xfId="10" applyNumberFormat="1" applyFont="1" applyBorder="1" applyAlignment="1">
      <alignment horizontal="right" vertical="center" wrapText="1"/>
    </xf>
    <xf numFmtId="3" fontId="6" fillId="0" borderId="2" xfId="2" applyNumberFormat="1" applyFont="1" applyBorder="1" applyAlignment="1">
      <alignment horizontal="left" vertical="center" wrapText="1"/>
    </xf>
    <xf numFmtId="1" fontId="6" fillId="0" borderId="2" xfId="2" applyNumberFormat="1" applyFont="1" applyBorder="1" applyAlignment="1">
      <alignment vertical="center" wrapText="1"/>
    </xf>
    <xf numFmtId="0" fontId="6" fillId="0" borderId="2" xfId="7" applyBorder="1" applyAlignment="1">
      <alignment vertical="center" wrapText="1"/>
    </xf>
    <xf numFmtId="3" fontId="6" fillId="0" borderId="2" xfId="11" applyNumberFormat="1" applyFont="1" applyBorder="1" applyAlignment="1">
      <alignment vertical="center" wrapText="1"/>
    </xf>
    <xf numFmtId="3" fontId="8" fillId="0" borderId="2" xfId="2" applyNumberFormat="1" applyFont="1" applyBorder="1" applyAlignment="1">
      <alignment horizontal="right" vertical="center"/>
    </xf>
    <xf numFmtId="0" fontId="6" fillId="0" borderId="1" xfId="12" applyFont="1" applyBorder="1" applyAlignment="1">
      <alignment vertical="center" wrapText="1"/>
    </xf>
    <xf numFmtId="166" fontId="6" fillId="0" borderId="1" xfId="1" applyNumberFormat="1" applyFont="1" applyFill="1" applyBorder="1" applyAlignment="1">
      <alignment horizontal="right" vertical="center" wrapText="1"/>
    </xf>
    <xf numFmtId="166" fontId="5" fillId="0" borderId="1" xfId="1" applyNumberFormat="1" applyFont="1" applyBorder="1" applyAlignment="1">
      <alignment horizontal="right" vertical="center" wrapText="1"/>
    </xf>
    <xf numFmtId="3" fontId="6" fillId="0" borderId="1" xfId="1" applyNumberFormat="1" applyFont="1" applyBorder="1" applyAlignment="1">
      <alignment horizontal="right" vertical="center" wrapText="1"/>
    </xf>
    <xf numFmtId="166" fontId="6" fillId="0" borderId="1" xfId="1" applyNumberFormat="1" applyFont="1" applyBorder="1" applyAlignment="1">
      <alignment horizontal="right" vertical="center" wrapText="1"/>
    </xf>
    <xf numFmtId="3" fontId="6" fillId="0" borderId="1" xfId="13" applyNumberFormat="1" applyFont="1" applyFill="1" applyBorder="1" applyAlignment="1">
      <alignment horizontal="right" vertical="center" wrapText="1"/>
    </xf>
    <xf numFmtId="1" fontId="6" fillId="0" borderId="1" xfId="2" applyNumberFormat="1" applyFont="1" applyBorder="1" applyAlignment="1">
      <alignment horizontal="righ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166" fontId="6" fillId="3" borderId="1" xfId="1" applyNumberFormat="1" applyFont="1" applyFill="1" applyBorder="1" applyAlignment="1">
      <alignment horizontal="right" vertical="center" wrapText="1"/>
    </xf>
    <xf numFmtId="0" fontId="6" fillId="2" borderId="0" xfId="0" applyFont="1" applyFill="1" applyAlignment="1">
      <alignment vertical="center" wrapText="1"/>
    </xf>
    <xf numFmtId="3" fontId="6" fillId="2" borderId="0" xfId="0" applyNumberFormat="1" applyFont="1" applyFill="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168" fontId="5" fillId="2" borderId="8" xfId="0" applyNumberFormat="1" applyFont="1" applyFill="1" applyBorder="1" applyAlignment="1">
      <alignment vertical="center" wrapText="1"/>
    </xf>
    <xf numFmtId="3" fontId="15" fillId="0" borderId="0" xfId="0" applyNumberFormat="1" applyFont="1" applyAlignment="1">
      <alignment vertical="center" wrapText="1"/>
    </xf>
    <xf numFmtId="3" fontId="0" fillId="0" borderId="0" xfId="0" applyNumberFormat="1"/>
    <xf numFmtId="0" fontId="5" fillId="0" borderId="0" xfId="0" applyFont="1" applyAlignment="1">
      <alignment horizontal="center" vertical="center" wrapText="1"/>
    </xf>
    <xf numFmtId="0" fontId="7" fillId="0" borderId="0" xfId="0" applyFont="1" applyAlignment="1">
      <alignment horizontal="center" vertical="center" wrapText="1"/>
    </xf>
    <xf numFmtId="3" fontId="7" fillId="0" borderId="0" xfId="2" applyNumberFormat="1" applyFont="1" applyAlignment="1">
      <alignment horizontal="right" vertical="center" wrapText="1"/>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7" xfId="0" quotePrefix="1" applyFont="1" applyBorder="1" applyAlignment="1">
      <alignment horizontal="center" vertical="center" wrapText="1"/>
    </xf>
    <xf numFmtId="1" fontId="5" fillId="0" borderId="0" xfId="2" applyNumberFormat="1"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0" xfId="4" applyFont="1" applyAlignment="1">
      <alignment horizontal="center"/>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cellXfs>
  <cellStyles count="14">
    <cellStyle name="Comma" xfId="1" builtinId="3"/>
    <cellStyle name="Comma 10 10 10" xfId="8"/>
    <cellStyle name="Comma 11" xfId="13"/>
    <cellStyle name="Comma 2" xfId="6"/>
    <cellStyle name="Comma 3" xfId="9"/>
    <cellStyle name="Normal" xfId="0" builtinId="0"/>
    <cellStyle name="Normal 10 10 2" xfId="4"/>
    <cellStyle name="Normal 11 4 2" xfId="5"/>
    <cellStyle name="Normal 2" xfId="7"/>
    <cellStyle name="Normal 70 2" xfId="10"/>
    <cellStyle name="Normal 72 2" xfId="11"/>
    <cellStyle name="Normal_Bieu mau (CV )" xfId="2"/>
    <cellStyle name="Normal_Bieu mau (CV ) 2 10" xfId="3"/>
    <cellStyle name="Normal_KH 2010-bieu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ELL/Dropbox/2.%20XAY%20DUNG%20CO%20BAN/DIEU%20CHUYEN/Trung%20han%202021-2025/23.6%20UB%20Dieu%20chinh%20trung%20han%20NSDP%2021-25%20(chinh%20th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ot_xa"/>
      <sheetName val="giavl"/>
      <sheetName val="Chi tiết Goc -AB"/>
      <sheetName val="SILICATE"/>
      <sheetName val="V-M(Bdinh)"/>
      <sheetName val="gVL"/>
      <sheetName val="PT ksat"/>
      <sheetName val="LUONG KS"/>
      <sheetName val="May"/>
      <sheetName val="heso"/>
      <sheetName val="PTDG"/>
      <sheetName val="THDT"/>
      <sheetName val="VAT LIEU"/>
      <sheetName val="DTCT"/>
      <sheetName val="ranh hong"/>
      <sheetName val="TT35"/>
      <sheetName val="MTO REV.2(ARMOR)"/>
      <sheetName val="??-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__-BLDG"/>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on_gia"/>
      <sheetName val="DON_GIA_TRAM_(3)"/>
      <sheetName val="7606_DZ"/>
      <sheetName val="TONG_HOP_VL-NC_TT"/>
      <sheetName val="CHITIET_VL-NC-TT_-1p"/>
      <sheetName val="KPVC-BD_"/>
      <sheetName val="dnc4"/>
      <sheetName val="갑지"/>
      <sheetName val="Adix A"/>
      <sheetName val="침하계"/>
      <sheetName val="BETON"/>
      <sheetName val="24-ACMV"/>
      <sheetName val="dg67-1"/>
      <sheetName val="Ng.hàng xà+bulong"/>
      <sheetName val="So doi chieu LC"/>
      <sheetName val="366"/>
      <sheetName val="DG-VL"/>
      <sheetName val="PTDGCT"/>
      <sheetName val="CTG"/>
      <sheetName val="phuluc1"/>
      <sheetName val="TONG HOP T5 1998"/>
      <sheetName val="K95"/>
      <sheetName val="K98"/>
      <sheetName val="chiet tinh"/>
      <sheetName val="CBKC-110"/>
      <sheetName val="VL"/>
      <sheetName val="PTDG"/>
      <sheetName val="KPTH-T12"/>
      <sheetName val="Thamgia-T10"/>
      <sheetName val="Đầu vào"/>
      <sheetName val="Ts"/>
      <sheetName val="A1.CN"/>
      <sheetName val="XD"/>
      <sheetName val="Cuongricc"/>
      <sheetName val="????"/>
      <sheetName val="TBA"/>
      <sheetName val="4.PTDG"/>
      <sheetName val="A1, May"/>
      <sheetName val="Máy"/>
      <sheetName val="Vat lieu"/>
      <sheetName val="May"/>
      <sheetName val="DTXL"/>
      <sheetName val="EIRR&gt;1&lt;1"/>
      <sheetName val="EIRR&gt; 2"/>
      <sheetName val="EIRR&lt;2"/>
      <sheetName val="Cp&gt;10-Ln&lt;10"/>
      <sheetName val="Ln&lt;20"/>
      <sheetName val="TH_CNO"/>
      <sheetName val="NK_CHUNG"/>
      <sheetName val="SL"/>
      <sheetName val="CT vat lieu"/>
      <sheetName val="vcdngan"/>
      <sheetName val="DG DZ"/>
      <sheetName val="DG TBA"/>
      <sheetName val="DGXD"/>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CT-35"/>
      <sheetName val="CT-0.4KV"/>
      <sheetName val="Data Input"/>
      <sheetName val="Keothep"/>
      <sheetName val="Re-bar"/>
      <sheetName val="DLDTLN"/>
      <sheetName val="차액보증"/>
      <sheetName val="Dulieu"/>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G thep ma kem"/>
      <sheetName val="dm366"/>
      <sheetName val="damgiua"/>
      <sheetName val="dgct"/>
      <sheetName val="WT-LIST"/>
      <sheetName val="DM 6061"/>
      <sheetName val="Gia"/>
      <sheetName val="EXTERNAL"/>
      <sheetName val="Trạm biến áp"/>
      <sheetName val="Đơn Giá "/>
      <sheetName val="Chi tiet XD TBA"/>
      <sheetName val="Giá"/>
      <sheetName val="DM1776"/>
      <sheetName val="DM228"/>
      <sheetName val="DM4970"/>
      <sheetName val="Camay_DP"/>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bt19"/>
      <sheetName val="Btr25"/>
      <sheetName val="Sheet2"/>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cuocbd"/>
      <sheetName val="CUOC"/>
      <sheetName val="Open"/>
      <sheetName val="Function"/>
      <sheetName val="Noisuy-LLL"/>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phan tic chi tiet"/>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ow r="9">
          <cell r="A9" t="str">
            <v>A</v>
          </cell>
        </row>
      </sheetData>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ow r="9">
          <cell r="A9" t="str">
            <v>A</v>
          </cell>
        </row>
      </sheetData>
      <sheetData sheetId="790" refreshError="1"/>
      <sheetData sheetId="791">
        <row r="9">
          <cell r="A9" t="str">
            <v>A</v>
          </cell>
        </row>
      </sheetData>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9">
          <cell r="A9" t="str">
            <v>A</v>
          </cell>
        </row>
      </sheetData>
      <sheetData sheetId="813">
        <row r="9">
          <cell r="A9" t="str">
            <v>A</v>
          </cell>
        </row>
      </sheetData>
      <sheetData sheetId="814" refreshError="1"/>
      <sheetData sheetId="815" refreshError="1"/>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sheetData sheetId="1426">
        <row r="9">
          <cell r="A9" t="str">
            <v>A</v>
          </cell>
        </row>
      </sheetData>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ow r="9">
          <cell r="A9" t="str">
            <v>A</v>
          </cell>
        </row>
      </sheetData>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refreshError="1"/>
      <sheetData sheetId="1447" refreshError="1"/>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row r="9">
          <cell r="A9" t="str">
            <v>A</v>
          </cell>
        </row>
      </sheetData>
      <sheetData sheetId="5535">
        <row r="9">
          <cell r="A9" t="str">
            <v>A</v>
          </cell>
        </row>
      </sheetData>
      <sheetData sheetId="5536"/>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sheetData sheetId="5608"/>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sheetData sheetId="5617">
        <row r="9">
          <cell r="A9" t="str">
            <v>A</v>
          </cell>
        </row>
      </sheetData>
      <sheetData sheetId="5618">
        <row r="9">
          <cell r="A9" t="str">
            <v>A</v>
          </cell>
        </row>
      </sheetData>
      <sheetData sheetId="5619"/>
      <sheetData sheetId="5620"/>
      <sheetData sheetId="5621"/>
      <sheetData sheetId="5622"/>
      <sheetData sheetId="5623"/>
      <sheetData sheetId="5624"/>
      <sheetData sheetId="5625"/>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row r="9">
          <cell r="A9" t="str">
            <v>A</v>
          </cell>
        </row>
      </sheetData>
      <sheetData sheetId="5650">
        <row r="9">
          <cell r="A9" t="str">
            <v>A</v>
          </cell>
        </row>
      </sheetData>
      <sheetData sheetId="5651">
        <row r="9">
          <cell r="A9" t="str">
            <v>A</v>
          </cell>
        </row>
      </sheetData>
      <sheetData sheetId="5652"/>
      <sheetData sheetId="5653"/>
      <sheetData sheetId="5654"/>
      <sheetData sheetId="5655"/>
      <sheetData sheetId="5656"/>
      <sheetData sheetId="5657"/>
      <sheetData sheetId="5658"/>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row r="9">
          <cell r="A9" t="str">
            <v>A</v>
          </cell>
        </row>
      </sheetData>
      <sheetData sheetId="5735">
        <row r="9">
          <cell r="A9" t="str">
            <v>A</v>
          </cell>
        </row>
      </sheetData>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sheetData sheetId="5762"/>
      <sheetData sheetId="5763"/>
      <sheetData sheetId="5764"/>
      <sheetData sheetId="5765"/>
      <sheetData sheetId="5766"/>
      <sheetData sheetId="5767"/>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sheetData sheetId="6214"/>
      <sheetData sheetId="6215"/>
      <sheetData sheetId="6216"/>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sheetData sheetId="6890"/>
      <sheetData sheetId="6891"/>
      <sheetData sheetId="6892"/>
      <sheetData sheetId="6893"/>
      <sheetData sheetId="6894"/>
      <sheetData sheetId="6895"/>
      <sheetData sheetId="6896"/>
      <sheetData sheetId="6897"/>
      <sheetData sheetId="6898"/>
      <sheetData sheetId="6899"/>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sheetData sheetId="6927"/>
      <sheetData sheetId="6928"/>
      <sheetData sheetId="6929"/>
      <sheetData sheetId="6930"/>
      <sheetData sheetId="6931"/>
      <sheetData sheetId="6932"/>
      <sheetData sheetId="6933"/>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sheetData sheetId="6941"/>
      <sheetData sheetId="6942"/>
      <sheetData sheetId="6943"/>
      <sheetData sheetId="6944"/>
      <sheetData sheetId="6945"/>
      <sheetData sheetId="6946"/>
      <sheetData sheetId="6947"/>
      <sheetData sheetId="6948"/>
      <sheetData sheetId="6949"/>
      <sheetData sheetId="6950"/>
      <sheetData sheetId="6951">
        <row r="9">
          <cell r="A9" t="str">
            <v>A</v>
          </cell>
        </row>
      </sheetData>
      <sheetData sheetId="6952">
        <row r="9">
          <cell r="A9" t="str">
            <v>A</v>
          </cell>
        </row>
      </sheetData>
      <sheetData sheetId="6953">
        <row r="9">
          <cell r="A9" t="str">
            <v>A</v>
          </cell>
        </row>
      </sheetData>
      <sheetData sheetId="6954"/>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sheetData sheetId="6969"/>
      <sheetData sheetId="6970"/>
      <sheetData sheetId="6971"/>
      <sheetData sheetId="6972"/>
      <sheetData sheetId="6973">
        <row r="9">
          <cell r="A9" t="str">
            <v>A</v>
          </cell>
        </row>
      </sheetData>
      <sheetData sheetId="6974">
        <row r="9">
          <cell r="A9" t="str">
            <v>A</v>
          </cell>
        </row>
      </sheetData>
      <sheetData sheetId="6975">
        <row r="9">
          <cell r="A9" t="str">
            <v>A</v>
          </cell>
        </row>
      </sheetData>
      <sheetData sheetId="6976"/>
      <sheetData sheetId="6977"/>
      <sheetData sheetId="6978"/>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9">
          <cell r="A9" t="str">
            <v>A</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9">
          <cell r="A9" t="str">
            <v>A</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row r="9">
          <cell r="A9" t="str">
            <v>A</v>
          </cell>
        </row>
      </sheetData>
      <sheetData sheetId="8136">
        <row r="9">
          <cell r="A9" t="str">
            <v>A</v>
          </cell>
        </row>
      </sheetData>
      <sheetData sheetId="8137">
        <row r="9">
          <cell r="A9" t="str">
            <v>A</v>
          </cell>
        </row>
      </sheetData>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sheetData sheetId="8926" refreshError="1"/>
      <sheetData sheetId="8927" refreshError="1"/>
      <sheetData sheetId="8928" refreshError="1"/>
      <sheetData sheetId="8929" refreshError="1"/>
      <sheetData sheetId="89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Nhom A DP"/>
      <sheetName val="10.TPCP-DP"/>
      <sheetName val="11. TƯV"/>
      <sheetName val="12.No XDCB"/>
      <sheetName val="&lt;60%"/>
      <sheetName val="1. NSCD"/>
      <sheetName val="2. Dat"/>
      <sheetName val="TH"/>
      <sheetName val="1. NSCD (2)"/>
      <sheetName val="NSTW"/>
      <sheetName val="DP (UB)"/>
    </sheetNames>
    <sheetDataSet>
      <sheetData sheetId="0" refreshError="1"/>
      <sheetData sheetId="1" refreshError="1"/>
      <sheetData sheetId="2" refreshError="1"/>
      <sheetData sheetId="3" refreshError="1"/>
      <sheetData sheetId="4" refreshError="1"/>
      <sheetData sheetId="5"/>
      <sheetData sheetId="6">
        <row r="9">
          <cell r="G9">
            <v>80605</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20"/>
  <sheetViews>
    <sheetView zoomScale="70" zoomScaleNormal="70" workbookViewId="0">
      <pane xSplit="2" ySplit="6" topLeftCell="C102" activePane="bottomRight" state="frozen"/>
      <selection activeCell="A6" sqref="A6:C7"/>
      <selection pane="topRight" activeCell="A6" sqref="A6:C7"/>
      <selection pane="bottomLeft" activeCell="A6" sqref="A6:C7"/>
      <selection pane="bottomRight" activeCell="H106" sqref="H106"/>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5.25" style="26" customWidth="1"/>
    <col min="7" max="8" width="14.25" style="26" customWidth="1"/>
    <col min="9" max="9" width="11.375" style="26" customWidth="1"/>
    <col min="10" max="11" width="12.75" style="26" customWidth="1"/>
    <col min="12" max="12" width="40.875" style="106" customWidth="1"/>
    <col min="13" max="13" width="18.375" style="26" customWidth="1"/>
    <col min="14" max="14" width="14.75" style="26" bestFit="1" customWidth="1"/>
    <col min="15" max="16384" width="9" style="26"/>
  </cols>
  <sheetData>
    <row r="1" spans="1:14" x14ac:dyDescent="0.25">
      <c r="A1" s="151" t="s">
        <v>167</v>
      </c>
      <c r="B1" s="151"/>
      <c r="C1" s="151"/>
      <c r="D1" s="151"/>
      <c r="E1" s="151"/>
      <c r="F1" s="151"/>
      <c r="G1" s="151"/>
      <c r="H1" s="151"/>
      <c r="I1" s="151"/>
      <c r="J1" s="151"/>
      <c r="K1" s="151"/>
      <c r="L1" s="151"/>
      <c r="M1" s="25">
        <f>G8+'[11]2. Dat'!G9</f>
        <v>417234</v>
      </c>
    </row>
    <row r="2" spans="1:14" x14ac:dyDescent="0.25">
      <c r="A2" s="152" t="s">
        <v>212</v>
      </c>
      <c r="B2" s="152"/>
      <c r="C2" s="152"/>
      <c r="D2" s="152"/>
      <c r="E2" s="152"/>
      <c r="F2" s="152"/>
      <c r="G2" s="152"/>
      <c r="H2" s="152"/>
      <c r="I2" s="152"/>
      <c r="J2" s="152"/>
      <c r="K2" s="152"/>
      <c r="L2" s="152"/>
    </row>
    <row r="3" spans="1:14" x14ac:dyDescent="0.25">
      <c r="F3" s="153" t="s">
        <v>1</v>
      </c>
      <c r="G3" s="153"/>
      <c r="H3" s="153"/>
      <c r="I3" s="153"/>
      <c r="J3" s="153"/>
      <c r="K3" s="153"/>
      <c r="L3" s="153"/>
    </row>
    <row r="4" spans="1:14" ht="15.6" customHeight="1" x14ac:dyDescent="0.25">
      <c r="A4" s="154" t="s">
        <v>2</v>
      </c>
      <c r="B4" s="155" t="s">
        <v>3</v>
      </c>
      <c r="C4" s="155" t="s">
        <v>4</v>
      </c>
      <c r="D4" s="155"/>
      <c r="E4" s="155"/>
      <c r="F4" s="155" t="s">
        <v>5</v>
      </c>
      <c r="G4" s="155" t="s">
        <v>107</v>
      </c>
      <c r="H4" s="155"/>
      <c r="I4" s="155" t="s">
        <v>108</v>
      </c>
      <c r="J4" s="155" t="s">
        <v>211</v>
      </c>
      <c r="K4" s="156" t="s">
        <v>6</v>
      </c>
      <c r="L4" s="155" t="s">
        <v>7</v>
      </c>
    </row>
    <row r="5" spans="1:14" x14ac:dyDescent="0.25">
      <c r="A5" s="154"/>
      <c r="B5" s="155"/>
      <c r="C5" s="155" t="s">
        <v>8</v>
      </c>
      <c r="D5" s="155" t="s">
        <v>9</v>
      </c>
      <c r="E5" s="155"/>
      <c r="F5" s="155"/>
      <c r="G5" s="155"/>
      <c r="H5" s="155"/>
      <c r="I5" s="155"/>
      <c r="J5" s="155"/>
      <c r="K5" s="156"/>
      <c r="L5" s="155"/>
    </row>
    <row r="6" spans="1:14" ht="48.6" customHeight="1" x14ac:dyDescent="0.25">
      <c r="A6" s="154"/>
      <c r="B6" s="155"/>
      <c r="C6" s="155"/>
      <c r="D6" s="29" t="s">
        <v>10</v>
      </c>
      <c r="E6" s="29" t="s">
        <v>157</v>
      </c>
      <c r="F6" s="155"/>
      <c r="G6" s="31" t="s">
        <v>11</v>
      </c>
      <c r="H6" s="31" t="s">
        <v>12</v>
      </c>
      <c r="I6" s="155"/>
      <c r="J6" s="155"/>
      <c r="K6" s="156"/>
      <c r="L6" s="155"/>
    </row>
    <row r="7" spans="1:14" s="38" customFormat="1" x14ac:dyDescent="0.25">
      <c r="A7" s="32"/>
      <c r="B7" s="33" t="s">
        <v>13</v>
      </c>
      <c r="C7" s="33"/>
      <c r="D7" s="33"/>
      <c r="E7" s="33"/>
      <c r="F7" s="34">
        <f t="shared" ref="F7:K7" si="0">F8+F43+F91</f>
        <v>5265770</v>
      </c>
      <c r="G7" s="35">
        <f t="shared" si="0"/>
        <v>1005147.3062</v>
      </c>
      <c r="H7" s="35">
        <f t="shared" si="0"/>
        <v>1005147.3062</v>
      </c>
      <c r="I7" s="33">
        <f t="shared" si="0"/>
        <v>600000</v>
      </c>
      <c r="J7" s="33">
        <f t="shared" si="0"/>
        <v>277800</v>
      </c>
      <c r="K7" s="33">
        <f t="shared" si="0"/>
        <v>4943570</v>
      </c>
      <c r="L7" s="33"/>
      <c r="M7" s="36">
        <v>945707.30619999999</v>
      </c>
      <c r="N7" s="37">
        <f>G7-M7</f>
        <v>59440</v>
      </c>
    </row>
    <row r="8" spans="1:14" s="38" customFormat="1" ht="31.5" x14ac:dyDescent="0.25">
      <c r="A8" s="39" t="s">
        <v>76</v>
      </c>
      <c r="B8" s="33" t="s">
        <v>0</v>
      </c>
      <c r="C8" s="39"/>
      <c r="D8" s="34">
        <f t="shared" ref="D8:K8" si="1">SUM(D9:D28)</f>
        <v>4039673.5</v>
      </c>
      <c r="E8" s="34">
        <f t="shared" si="1"/>
        <v>906029</v>
      </c>
      <c r="F8" s="34">
        <f t="shared" si="1"/>
        <v>704683</v>
      </c>
      <c r="G8" s="34">
        <f t="shared" si="1"/>
        <v>336629</v>
      </c>
      <c r="H8" s="34">
        <f t="shared" si="1"/>
        <v>336629</v>
      </c>
      <c r="I8" s="34">
        <f t="shared" si="1"/>
        <v>0</v>
      </c>
      <c r="J8" s="34">
        <f t="shared" si="1"/>
        <v>0</v>
      </c>
      <c r="K8" s="34">
        <f t="shared" si="1"/>
        <v>704683</v>
      </c>
      <c r="L8" s="40" t="s">
        <v>77</v>
      </c>
      <c r="M8" s="38">
        <v>307189</v>
      </c>
      <c r="N8" s="37">
        <f>G8-M8</f>
        <v>29440</v>
      </c>
    </row>
    <row r="9" spans="1:14" s="38" customFormat="1" x14ac:dyDescent="0.25">
      <c r="A9" s="39"/>
      <c r="B9" s="41" t="s">
        <v>14</v>
      </c>
      <c r="C9" s="41"/>
      <c r="D9" s="41"/>
      <c r="E9" s="41"/>
      <c r="F9" s="34"/>
      <c r="G9" s="34"/>
      <c r="H9" s="34"/>
      <c r="I9" s="34"/>
      <c r="J9" s="34"/>
      <c r="K9" s="34"/>
      <c r="L9" s="40"/>
      <c r="N9" s="37">
        <f>N8-10690</f>
        <v>18750</v>
      </c>
    </row>
    <row r="10" spans="1:14" ht="31.5" x14ac:dyDescent="0.25">
      <c r="A10" s="42">
        <v>1</v>
      </c>
      <c r="B10" s="43" t="s">
        <v>15</v>
      </c>
      <c r="C10" s="31" t="s">
        <v>68</v>
      </c>
      <c r="D10" s="44">
        <v>225180</v>
      </c>
      <c r="E10" s="44">
        <v>22365</v>
      </c>
      <c r="F10" s="44">
        <v>4823</v>
      </c>
      <c r="G10" s="44"/>
      <c r="H10" s="44">
        <v>3596</v>
      </c>
      <c r="I10" s="44"/>
      <c r="J10" s="44"/>
      <c r="K10" s="45">
        <f>F10+G10-H10</f>
        <v>1227</v>
      </c>
      <c r="L10" s="46" t="s">
        <v>16</v>
      </c>
    </row>
    <row r="11" spans="1:14" ht="31.5" x14ac:dyDescent="0.25">
      <c r="A11" s="42">
        <v>2</v>
      </c>
      <c r="B11" s="43" t="s">
        <v>17</v>
      </c>
      <c r="C11" s="47" t="s">
        <v>18</v>
      </c>
      <c r="D11" s="44">
        <v>248443</v>
      </c>
      <c r="E11" s="44">
        <v>72982</v>
      </c>
      <c r="F11" s="44">
        <v>64684</v>
      </c>
      <c r="G11" s="44"/>
      <c r="H11" s="44">
        <v>14524</v>
      </c>
      <c r="I11" s="44"/>
      <c r="J11" s="44"/>
      <c r="K11" s="45">
        <f t="shared" ref="K11:K42" si="2">F11+G11-H11</f>
        <v>50160</v>
      </c>
      <c r="L11" s="46" t="s">
        <v>19</v>
      </c>
    </row>
    <row r="12" spans="1:14" ht="31.5" x14ac:dyDescent="0.25">
      <c r="A12" s="42">
        <v>3</v>
      </c>
      <c r="B12" s="48" t="s">
        <v>20</v>
      </c>
      <c r="C12" s="47" t="s">
        <v>69</v>
      </c>
      <c r="D12" s="44">
        <v>14008</v>
      </c>
      <c r="E12" s="44">
        <v>10861</v>
      </c>
      <c r="F12" s="44">
        <v>1000</v>
      </c>
      <c r="G12" s="44"/>
      <c r="H12" s="44">
        <v>1000</v>
      </c>
      <c r="I12" s="44"/>
      <c r="J12" s="44"/>
      <c r="K12" s="45">
        <f t="shared" si="2"/>
        <v>0</v>
      </c>
      <c r="L12" s="46" t="s">
        <v>21</v>
      </c>
    </row>
    <row r="13" spans="1:14" ht="31.5" x14ac:dyDescent="0.25">
      <c r="A13" s="42">
        <v>4</v>
      </c>
      <c r="B13" s="43" t="s">
        <v>22</v>
      </c>
      <c r="C13" s="47" t="s">
        <v>70</v>
      </c>
      <c r="D13" s="44">
        <v>219110</v>
      </c>
      <c r="E13" s="44">
        <v>16110</v>
      </c>
      <c r="F13" s="44">
        <v>3960</v>
      </c>
      <c r="G13" s="44"/>
      <c r="H13" s="44">
        <v>971</v>
      </c>
      <c r="I13" s="44"/>
      <c r="J13" s="44"/>
      <c r="K13" s="45">
        <f t="shared" si="2"/>
        <v>2989</v>
      </c>
      <c r="L13" s="46" t="s">
        <v>23</v>
      </c>
    </row>
    <row r="14" spans="1:14" ht="31.5" x14ac:dyDescent="0.25">
      <c r="A14" s="42">
        <v>5</v>
      </c>
      <c r="B14" s="49" t="s">
        <v>24</v>
      </c>
      <c r="C14" s="47" t="s">
        <v>25</v>
      </c>
      <c r="D14" s="44">
        <f>40649+49040</f>
        <v>89689</v>
      </c>
      <c r="E14" s="45">
        <f>D14</f>
        <v>89689</v>
      </c>
      <c r="F14" s="44">
        <v>89689</v>
      </c>
      <c r="G14" s="44"/>
      <c r="H14" s="44">
        <f>F14</f>
        <v>89689</v>
      </c>
      <c r="I14" s="44"/>
      <c r="J14" s="44"/>
      <c r="K14" s="45">
        <f>F14+G14-H14</f>
        <v>0</v>
      </c>
      <c r="L14" s="50" t="s">
        <v>71</v>
      </c>
    </row>
    <row r="15" spans="1:14" s="52" customFormat="1" ht="47.25" x14ac:dyDescent="0.25">
      <c r="A15" s="42">
        <v>6</v>
      </c>
      <c r="B15" s="48" t="s">
        <v>72</v>
      </c>
      <c r="C15" s="31" t="s">
        <v>180</v>
      </c>
      <c r="D15" s="51">
        <v>104896</v>
      </c>
      <c r="E15" s="51">
        <v>104896</v>
      </c>
      <c r="F15" s="44">
        <v>104896</v>
      </c>
      <c r="G15" s="44"/>
      <c r="H15" s="44">
        <f>G105</f>
        <v>71285</v>
      </c>
      <c r="I15" s="44"/>
      <c r="J15" s="44"/>
      <c r="K15" s="45">
        <f>F15+G15-H15</f>
        <v>33611</v>
      </c>
      <c r="L15" s="50" t="s">
        <v>190</v>
      </c>
      <c r="M15" s="26"/>
      <c r="N15" s="26"/>
    </row>
    <row r="16" spans="1:14" ht="175.5" customHeight="1" x14ac:dyDescent="0.25">
      <c r="A16" s="42">
        <v>7</v>
      </c>
      <c r="B16" s="48" t="s">
        <v>26</v>
      </c>
      <c r="C16" s="49"/>
      <c r="D16" s="44"/>
      <c r="E16" s="44"/>
      <c r="F16" s="44">
        <v>74970</v>
      </c>
      <c r="G16" s="44"/>
      <c r="H16" s="44">
        <f>11075+10690</f>
        <v>21765</v>
      </c>
      <c r="I16" s="44"/>
      <c r="J16" s="44"/>
      <c r="K16" s="45">
        <f t="shared" si="2"/>
        <v>53205</v>
      </c>
      <c r="L16" s="53" t="s">
        <v>231</v>
      </c>
    </row>
    <row r="17" spans="1:14" ht="47.25" x14ac:dyDescent="0.25">
      <c r="A17" s="42">
        <v>8</v>
      </c>
      <c r="B17" s="48" t="s">
        <v>27</v>
      </c>
      <c r="C17" s="49"/>
      <c r="D17" s="44"/>
      <c r="E17" s="44"/>
      <c r="F17" s="44">
        <v>150000</v>
      </c>
      <c r="G17" s="44"/>
      <c r="H17" s="44">
        <f>107720-20091+46170</f>
        <v>133799</v>
      </c>
      <c r="I17" s="44"/>
      <c r="J17" s="44"/>
      <c r="K17" s="45">
        <f>F17+G17-H17</f>
        <v>16201</v>
      </c>
      <c r="L17" s="53" t="s">
        <v>28</v>
      </c>
    </row>
    <row r="18" spans="1:14" s="38" customFormat="1" x14ac:dyDescent="0.25">
      <c r="A18" s="39"/>
      <c r="B18" s="41" t="s">
        <v>31</v>
      </c>
      <c r="C18" s="41"/>
      <c r="D18" s="44"/>
      <c r="E18" s="44"/>
      <c r="F18" s="34"/>
      <c r="G18" s="34"/>
      <c r="H18" s="34"/>
      <c r="I18" s="34"/>
      <c r="J18" s="34"/>
      <c r="K18" s="34"/>
      <c r="L18" s="40"/>
    </row>
    <row r="19" spans="1:14" s="52" customFormat="1" ht="47.25" x14ac:dyDescent="0.25">
      <c r="A19" s="42">
        <v>1</v>
      </c>
      <c r="B19" s="48" t="s">
        <v>29</v>
      </c>
      <c r="C19" s="49"/>
      <c r="D19" s="44"/>
      <c r="E19" s="44"/>
      <c r="F19" s="44">
        <v>118766</v>
      </c>
      <c r="G19" s="44">
        <f>28535+18750</f>
        <v>47285</v>
      </c>
      <c r="H19" s="44"/>
      <c r="I19" s="44"/>
      <c r="J19" s="44"/>
      <c r="K19" s="45">
        <f>F19+G19-H19</f>
        <v>166051</v>
      </c>
      <c r="L19" s="53" t="s">
        <v>30</v>
      </c>
      <c r="M19" s="25">
        <v>100550</v>
      </c>
      <c r="N19" s="25">
        <f>M19+H15-G26</f>
        <v>166051</v>
      </c>
    </row>
    <row r="20" spans="1:14" ht="63" x14ac:dyDescent="0.25">
      <c r="A20" s="42">
        <v>2</v>
      </c>
      <c r="B20" s="43" t="s">
        <v>32</v>
      </c>
      <c r="C20" s="47" t="s">
        <v>33</v>
      </c>
      <c r="D20" s="44">
        <v>1152920</v>
      </c>
      <c r="E20" s="44">
        <v>134560</v>
      </c>
      <c r="F20" s="44">
        <v>0</v>
      </c>
      <c r="G20" s="44">
        <v>22210</v>
      </c>
      <c r="H20" s="44"/>
      <c r="I20" s="44"/>
      <c r="J20" s="44"/>
      <c r="K20" s="45">
        <f t="shared" si="2"/>
        <v>22210</v>
      </c>
      <c r="L20" s="54" t="s">
        <v>225</v>
      </c>
    </row>
    <row r="21" spans="1:14" ht="47.25" x14ac:dyDescent="0.25">
      <c r="A21" s="42">
        <v>3</v>
      </c>
      <c r="B21" s="43" t="s">
        <v>34</v>
      </c>
      <c r="C21" s="47" t="s">
        <v>35</v>
      </c>
      <c r="D21" s="44">
        <v>293310.5</v>
      </c>
      <c r="E21" s="44">
        <v>15510</v>
      </c>
      <c r="F21" s="44">
        <v>0</v>
      </c>
      <c r="G21" s="44">
        <v>15510</v>
      </c>
      <c r="H21" s="44"/>
      <c r="I21" s="44"/>
      <c r="J21" s="44"/>
      <c r="K21" s="45">
        <f t="shared" si="2"/>
        <v>15510</v>
      </c>
      <c r="L21" s="48" t="s">
        <v>166</v>
      </c>
    </row>
    <row r="22" spans="1:14" s="52" customFormat="1" ht="47.25" x14ac:dyDescent="0.25">
      <c r="A22" s="42">
        <v>4</v>
      </c>
      <c r="B22" s="43" t="s">
        <v>209</v>
      </c>
      <c r="C22" s="47" t="s">
        <v>217</v>
      </c>
      <c r="D22" s="55">
        <f>998151+96170</f>
        <v>1094321</v>
      </c>
      <c r="E22" s="55">
        <f>255679+96170</f>
        <v>351849</v>
      </c>
      <c r="F22" s="56">
        <v>71895</v>
      </c>
      <c r="G22" s="44">
        <f>96170-50000</f>
        <v>46170</v>
      </c>
      <c r="H22" s="44"/>
      <c r="I22" s="44"/>
      <c r="J22" s="44"/>
      <c r="K22" s="45">
        <f>F22+G22</f>
        <v>118065</v>
      </c>
      <c r="L22" s="49" t="s">
        <v>218</v>
      </c>
      <c r="M22" s="26"/>
      <c r="N22" s="26"/>
    </row>
    <row r="23" spans="1:14" ht="31.5" x14ac:dyDescent="0.25">
      <c r="A23" s="42">
        <v>5</v>
      </c>
      <c r="B23" s="49" t="s">
        <v>36</v>
      </c>
      <c r="C23" s="47" t="s">
        <v>224</v>
      </c>
      <c r="D23" s="44">
        <v>9000</v>
      </c>
      <c r="E23" s="44">
        <v>4500</v>
      </c>
      <c r="F23" s="44">
        <v>0</v>
      </c>
      <c r="G23" s="44">
        <v>4500</v>
      </c>
      <c r="H23" s="44"/>
      <c r="I23" s="44"/>
      <c r="J23" s="44"/>
      <c r="K23" s="45">
        <f t="shared" si="2"/>
        <v>4500</v>
      </c>
      <c r="L23" s="50" t="s">
        <v>166</v>
      </c>
    </row>
    <row r="24" spans="1:14" ht="63" x14ac:dyDescent="0.25">
      <c r="A24" s="42">
        <v>6</v>
      </c>
      <c r="B24" s="49" t="s">
        <v>229</v>
      </c>
      <c r="C24" s="47" t="s">
        <v>232</v>
      </c>
      <c r="D24" s="44">
        <v>588796</v>
      </c>
      <c r="E24" s="44">
        <f>D24-506089</f>
        <v>82707</v>
      </c>
      <c r="F24" s="44">
        <v>0</v>
      </c>
      <c r="G24" s="44">
        <v>10690</v>
      </c>
      <c r="H24" s="44"/>
      <c r="I24" s="44"/>
      <c r="J24" s="44"/>
      <c r="K24" s="45">
        <f t="shared" si="2"/>
        <v>10690</v>
      </c>
      <c r="L24" s="57" t="s">
        <v>230</v>
      </c>
    </row>
    <row r="25" spans="1:14" ht="47.25" x14ac:dyDescent="0.25">
      <c r="A25" s="42">
        <v>7</v>
      </c>
      <c r="B25" s="49" t="s">
        <v>37</v>
      </c>
      <c r="C25" s="49"/>
      <c r="D25" s="44"/>
      <c r="E25" s="44"/>
      <c r="F25" s="44">
        <v>0</v>
      </c>
      <c r="G25" s="44">
        <v>18480</v>
      </c>
      <c r="H25" s="44"/>
      <c r="I25" s="44"/>
      <c r="J25" s="44"/>
      <c r="K25" s="45">
        <f t="shared" si="2"/>
        <v>18480</v>
      </c>
      <c r="L25" s="50" t="s">
        <v>38</v>
      </c>
    </row>
    <row r="26" spans="1:14" ht="47.25" x14ac:dyDescent="0.25">
      <c r="A26" s="42">
        <v>8</v>
      </c>
      <c r="B26" s="49" t="s">
        <v>73</v>
      </c>
      <c r="C26" s="49"/>
      <c r="D26" s="44"/>
      <c r="E26" s="44"/>
      <c r="F26" s="44">
        <v>0</v>
      </c>
      <c r="G26" s="44">
        <v>5784</v>
      </c>
      <c r="H26" s="44"/>
      <c r="I26" s="44"/>
      <c r="J26" s="44"/>
      <c r="K26" s="45">
        <f t="shared" si="2"/>
        <v>5784</v>
      </c>
      <c r="L26" s="50" t="s">
        <v>74</v>
      </c>
    </row>
    <row r="27" spans="1:14" ht="63" x14ac:dyDescent="0.25">
      <c r="A27" s="42">
        <v>9</v>
      </c>
      <c r="B27" s="48" t="s">
        <v>75</v>
      </c>
      <c r="C27" s="49"/>
      <c r="D27" s="44"/>
      <c r="E27" s="44"/>
      <c r="F27" s="44">
        <v>0</v>
      </c>
      <c r="G27" s="44">
        <v>36000</v>
      </c>
      <c r="H27" s="44"/>
      <c r="I27" s="44"/>
      <c r="J27" s="44"/>
      <c r="K27" s="45">
        <f t="shared" si="2"/>
        <v>36000</v>
      </c>
      <c r="L27" s="48" t="s">
        <v>226</v>
      </c>
    </row>
    <row r="28" spans="1:14" ht="126" x14ac:dyDescent="0.25">
      <c r="A28" s="42">
        <v>10</v>
      </c>
      <c r="B28" s="49" t="s">
        <v>39</v>
      </c>
      <c r="C28" s="49"/>
      <c r="D28" s="44"/>
      <c r="E28" s="44"/>
      <c r="F28" s="44">
        <f>SUM(F29:F42)</f>
        <v>20000</v>
      </c>
      <c r="G28" s="44">
        <f>SUM(G29:G42)</f>
        <v>130000</v>
      </c>
      <c r="H28" s="44"/>
      <c r="I28" s="44"/>
      <c r="J28" s="44"/>
      <c r="K28" s="44">
        <f>SUM(K29:K42)</f>
        <v>150000</v>
      </c>
      <c r="L28" s="50" t="s">
        <v>196</v>
      </c>
    </row>
    <row r="29" spans="1:14" s="62" customFormat="1" x14ac:dyDescent="0.25">
      <c r="A29" s="58"/>
      <c r="B29" s="41" t="s">
        <v>40</v>
      </c>
      <c r="C29" s="41"/>
      <c r="D29" s="44"/>
      <c r="E29" s="44"/>
      <c r="F29" s="59"/>
      <c r="G29" s="59"/>
      <c r="H29" s="59"/>
      <c r="I29" s="59"/>
      <c r="J29" s="59"/>
      <c r="K29" s="60"/>
      <c r="L29" s="61"/>
    </row>
    <row r="30" spans="1:14" ht="47.25" x14ac:dyDescent="0.25">
      <c r="A30" s="42" t="s">
        <v>41</v>
      </c>
      <c r="B30" s="49" t="s">
        <v>42</v>
      </c>
      <c r="C30" s="63" t="s">
        <v>43</v>
      </c>
      <c r="D30" s="44">
        <v>20000</v>
      </c>
      <c r="E30" s="44">
        <v>12000</v>
      </c>
      <c r="F30" s="44">
        <v>0</v>
      </c>
      <c r="G30" s="44">
        <v>12000</v>
      </c>
      <c r="H30" s="44"/>
      <c r="I30" s="44"/>
      <c r="J30" s="44"/>
      <c r="K30" s="45">
        <f t="shared" si="2"/>
        <v>12000</v>
      </c>
      <c r="L30" s="31" t="s">
        <v>223</v>
      </c>
    </row>
    <row r="31" spans="1:14" ht="47.25" x14ac:dyDescent="0.25">
      <c r="A31" s="42" t="s">
        <v>41</v>
      </c>
      <c r="B31" s="49" t="s">
        <v>44</v>
      </c>
      <c r="C31" s="63" t="s">
        <v>45</v>
      </c>
      <c r="D31" s="44">
        <v>28000</v>
      </c>
      <c r="E31" s="44">
        <v>25000</v>
      </c>
      <c r="F31" s="44">
        <v>0</v>
      </c>
      <c r="G31" s="44">
        <v>25000</v>
      </c>
      <c r="H31" s="44"/>
      <c r="I31" s="44"/>
      <c r="J31" s="44"/>
      <c r="K31" s="45">
        <f t="shared" si="2"/>
        <v>25000</v>
      </c>
      <c r="L31" s="64" t="s">
        <v>197</v>
      </c>
    </row>
    <row r="32" spans="1:14" ht="78.75" x14ac:dyDescent="0.25">
      <c r="A32" s="42" t="s">
        <v>41</v>
      </c>
      <c r="B32" s="49" t="s">
        <v>46</v>
      </c>
      <c r="C32" s="63" t="s">
        <v>47</v>
      </c>
      <c r="D32" s="44">
        <v>44460</v>
      </c>
      <c r="E32" s="44">
        <v>30000</v>
      </c>
      <c r="F32" s="44">
        <v>20000</v>
      </c>
      <c r="G32" s="44">
        <v>10000</v>
      </c>
      <c r="H32" s="44"/>
      <c r="I32" s="44"/>
      <c r="J32" s="44"/>
      <c r="K32" s="45">
        <f t="shared" si="2"/>
        <v>30000</v>
      </c>
      <c r="L32" s="64" t="s">
        <v>197</v>
      </c>
    </row>
    <row r="33" spans="1:12" ht="47.25" x14ac:dyDescent="0.25">
      <c r="A33" s="42" t="s">
        <v>41</v>
      </c>
      <c r="B33" s="49" t="s">
        <v>48</v>
      </c>
      <c r="C33" s="47" t="s">
        <v>49</v>
      </c>
      <c r="D33" s="44">
        <v>32945</v>
      </c>
      <c r="E33" s="44">
        <v>10000</v>
      </c>
      <c r="F33" s="44">
        <v>0</v>
      </c>
      <c r="G33" s="44">
        <v>10000</v>
      </c>
      <c r="H33" s="44"/>
      <c r="I33" s="44"/>
      <c r="J33" s="44"/>
      <c r="K33" s="45">
        <f t="shared" si="2"/>
        <v>10000</v>
      </c>
      <c r="L33" s="64" t="s">
        <v>197</v>
      </c>
    </row>
    <row r="34" spans="1:12" ht="47.25" x14ac:dyDescent="0.25">
      <c r="A34" s="42" t="s">
        <v>41</v>
      </c>
      <c r="B34" s="49" t="s">
        <v>50</v>
      </c>
      <c r="C34" s="47" t="s">
        <v>51</v>
      </c>
      <c r="D34" s="44">
        <v>25000</v>
      </c>
      <c r="E34" s="44">
        <v>10000</v>
      </c>
      <c r="F34" s="44">
        <v>0</v>
      </c>
      <c r="G34" s="44">
        <v>10000</v>
      </c>
      <c r="H34" s="44"/>
      <c r="I34" s="44"/>
      <c r="J34" s="44"/>
      <c r="K34" s="45">
        <f t="shared" si="2"/>
        <v>10000</v>
      </c>
      <c r="L34" s="64" t="s">
        <v>197</v>
      </c>
    </row>
    <row r="35" spans="1:12" ht="47.25" x14ac:dyDescent="0.25">
      <c r="A35" s="42" t="s">
        <v>41</v>
      </c>
      <c r="B35" s="49" t="s">
        <v>52</v>
      </c>
      <c r="C35" s="47" t="s">
        <v>53</v>
      </c>
      <c r="D35" s="44">
        <f>510500+7500</f>
        <v>518000</v>
      </c>
      <c r="E35" s="44">
        <v>7500</v>
      </c>
      <c r="F35" s="44">
        <v>0</v>
      </c>
      <c r="G35" s="44">
        <v>7500</v>
      </c>
      <c r="H35" s="44"/>
      <c r="I35" s="44"/>
      <c r="J35" s="44"/>
      <c r="K35" s="45">
        <f t="shared" si="2"/>
        <v>7500</v>
      </c>
      <c r="L35" s="64" t="s">
        <v>197</v>
      </c>
    </row>
    <row r="36" spans="1:12" ht="47.25" x14ac:dyDescent="0.25">
      <c r="A36" s="42" t="s">
        <v>41</v>
      </c>
      <c r="B36" s="48" t="s">
        <v>54</v>
      </c>
      <c r="C36" s="47" t="s">
        <v>55</v>
      </c>
      <c r="D36" s="44">
        <f>26195+2500</f>
        <v>28695</v>
      </c>
      <c r="E36" s="44">
        <v>2500</v>
      </c>
      <c r="F36" s="44">
        <v>0</v>
      </c>
      <c r="G36" s="44">
        <v>2500</v>
      </c>
      <c r="H36" s="44"/>
      <c r="I36" s="44"/>
      <c r="J36" s="44"/>
      <c r="K36" s="45">
        <f t="shared" si="2"/>
        <v>2500</v>
      </c>
      <c r="L36" s="64" t="s">
        <v>197</v>
      </c>
    </row>
    <row r="37" spans="1:12" ht="47.25" x14ac:dyDescent="0.25">
      <c r="A37" s="42" t="s">
        <v>41</v>
      </c>
      <c r="B37" s="49" t="s">
        <v>56</v>
      </c>
      <c r="C37" s="47" t="s">
        <v>57</v>
      </c>
      <c r="D37" s="44">
        <v>7200</v>
      </c>
      <c r="E37" s="44">
        <v>7000</v>
      </c>
      <c r="F37" s="44">
        <v>0</v>
      </c>
      <c r="G37" s="44">
        <v>7000</v>
      </c>
      <c r="H37" s="44"/>
      <c r="I37" s="44"/>
      <c r="J37" s="44"/>
      <c r="K37" s="45">
        <f t="shared" si="2"/>
        <v>7000</v>
      </c>
      <c r="L37" s="64" t="s">
        <v>197</v>
      </c>
    </row>
    <row r="38" spans="1:12" ht="47.25" x14ac:dyDescent="0.25">
      <c r="A38" s="42" t="s">
        <v>41</v>
      </c>
      <c r="B38" s="49" t="s">
        <v>58</v>
      </c>
      <c r="C38" s="47" t="s">
        <v>59</v>
      </c>
      <c r="D38" s="44">
        <v>3200</v>
      </c>
      <c r="E38" s="44">
        <v>3000</v>
      </c>
      <c r="F38" s="44">
        <v>0</v>
      </c>
      <c r="G38" s="44">
        <v>3000</v>
      </c>
      <c r="H38" s="44"/>
      <c r="I38" s="44"/>
      <c r="J38" s="44"/>
      <c r="K38" s="45">
        <f t="shared" si="2"/>
        <v>3000</v>
      </c>
      <c r="L38" s="64" t="s">
        <v>197</v>
      </c>
    </row>
    <row r="39" spans="1:12" ht="47.25" x14ac:dyDescent="0.25">
      <c r="A39" s="42" t="s">
        <v>41</v>
      </c>
      <c r="B39" s="49" t="s">
        <v>60</v>
      </c>
      <c r="C39" s="47" t="s">
        <v>61</v>
      </c>
      <c r="D39" s="44">
        <f>10000+5500+4000+10500</f>
        <v>30000</v>
      </c>
      <c r="E39" s="44">
        <v>10000</v>
      </c>
      <c r="F39" s="44">
        <v>0</v>
      </c>
      <c r="G39" s="44">
        <v>10000</v>
      </c>
      <c r="H39" s="44"/>
      <c r="I39" s="44"/>
      <c r="J39" s="44"/>
      <c r="K39" s="45">
        <f t="shared" si="2"/>
        <v>10000</v>
      </c>
      <c r="L39" s="64" t="s">
        <v>197</v>
      </c>
    </row>
    <row r="40" spans="1:12" ht="47.25" x14ac:dyDescent="0.25">
      <c r="A40" s="42" t="s">
        <v>41</v>
      </c>
      <c r="B40" s="49" t="s">
        <v>62</v>
      </c>
      <c r="C40" s="47" t="s">
        <v>63</v>
      </c>
      <c r="D40" s="44">
        <v>29500</v>
      </c>
      <c r="E40" s="44">
        <v>20000</v>
      </c>
      <c r="F40" s="44">
        <v>0</v>
      </c>
      <c r="G40" s="44">
        <v>20000</v>
      </c>
      <c r="H40" s="44"/>
      <c r="I40" s="44"/>
      <c r="J40" s="44"/>
      <c r="K40" s="45">
        <f t="shared" si="2"/>
        <v>20000</v>
      </c>
      <c r="L40" s="64" t="s">
        <v>197</v>
      </c>
    </row>
    <row r="41" spans="1:12" ht="47.25" x14ac:dyDescent="0.25">
      <c r="A41" s="42" t="s">
        <v>41</v>
      </c>
      <c r="B41" s="49" t="s">
        <v>64</v>
      </c>
      <c r="C41" s="47" t="s">
        <v>65</v>
      </c>
      <c r="D41" s="44">
        <v>11000</v>
      </c>
      <c r="E41" s="44">
        <v>10000</v>
      </c>
      <c r="F41" s="44">
        <v>0</v>
      </c>
      <c r="G41" s="44">
        <v>10000</v>
      </c>
      <c r="H41" s="44"/>
      <c r="I41" s="44"/>
      <c r="J41" s="44"/>
      <c r="K41" s="45">
        <f t="shared" si="2"/>
        <v>10000</v>
      </c>
      <c r="L41" s="64" t="s">
        <v>197</v>
      </c>
    </row>
    <row r="42" spans="1:12" ht="47.25" x14ac:dyDescent="0.25">
      <c r="A42" s="42" t="s">
        <v>41</v>
      </c>
      <c r="B42" s="49" t="s">
        <v>66</v>
      </c>
      <c r="C42" s="47" t="s">
        <v>67</v>
      </c>
      <c r="D42" s="44">
        <v>3286</v>
      </c>
      <c r="E42" s="44">
        <v>3000</v>
      </c>
      <c r="F42" s="44">
        <v>0</v>
      </c>
      <c r="G42" s="44">
        <v>3000</v>
      </c>
      <c r="H42" s="44"/>
      <c r="I42" s="44"/>
      <c r="J42" s="44"/>
      <c r="K42" s="45">
        <f t="shared" si="2"/>
        <v>3000</v>
      </c>
      <c r="L42" s="64" t="s">
        <v>197</v>
      </c>
    </row>
    <row r="43" spans="1:12" s="38" customFormat="1" ht="31.5" x14ac:dyDescent="0.25">
      <c r="A43" s="39" t="s">
        <v>78</v>
      </c>
      <c r="B43" s="65" t="s">
        <v>183</v>
      </c>
      <c r="C43" s="65"/>
      <c r="D43" s="65"/>
      <c r="E43" s="65"/>
      <c r="F43" s="66">
        <f t="shared" ref="F43:K43" si="3">F44+F69+F82</f>
        <v>3390000</v>
      </c>
      <c r="G43" s="66">
        <f t="shared" si="3"/>
        <v>130605</v>
      </c>
      <c r="H43" s="66">
        <f t="shared" si="3"/>
        <v>130605</v>
      </c>
      <c r="I43" s="66">
        <f t="shared" si="3"/>
        <v>600000</v>
      </c>
      <c r="J43" s="66">
        <f t="shared" si="3"/>
        <v>0</v>
      </c>
      <c r="K43" s="66">
        <f t="shared" si="3"/>
        <v>2790000</v>
      </c>
      <c r="L43" s="40" t="s">
        <v>77</v>
      </c>
    </row>
    <row r="44" spans="1:12" s="38" customFormat="1" ht="31.5" x14ac:dyDescent="0.25">
      <c r="A44" s="39" t="s">
        <v>105</v>
      </c>
      <c r="B44" s="67" t="s">
        <v>106</v>
      </c>
      <c r="C44" s="39"/>
      <c r="D44" s="68"/>
      <c r="E44" s="68"/>
      <c r="F44" s="34">
        <v>2250000</v>
      </c>
      <c r="G44" s="34">
        <f>SUM(G58:G68)</f>
        <v>59905</v>
      </c>
      <c r="H44" s="34">
        <f>SUM(H58:H68)</f>
        <v>59905</v>
      </c>
      <c r="I44" s="34">
        <f>I46+I47+I50</f>
        <v>450000</v>
      </c>
      <c r="J44" s="34">
        <f>J46+J47+J50</f>
        <v>0</v>
      </c>
      <c r="K44" s="34">
        <f>F44-I44</f>
        <v>1800000</v>
      </c>
      <c r="L44" s="40"/>
    </row>
    <row r="45" spans="1:12" s="38" customFormat="1" ht="31.5" x14ac:dyDescent="0.25">
      <c r="A45" s="39" t="s">
        <v>129</v>
      </c>
      <c r="B45" s="67" t="s">
        <v>108</v>
      </c>
      <c r="C45" s="39"/>
      <c r="D45" s="68"/>
      <c r="E45" s="68"/>
      <c r="F45" s="34"/>
      <c r="G45" s="34"/>
      <c r="H45" s="34"/>
      <c r="I45" s="34"/>
      <c r="J45" s="34"/>
      <c r="K45" s="34"/>
      <c r="L45" s="40"/>
    </row>
    <row r="46" spans="1:12" s="62" customFormat="1" x14ac:dyDescent="0.25">
      <c r="A46" s="69">
        <v>1</v>
      </c>
      <c r="B46" s="70" t="s">
        <v>115</v>
      </c>
      <c r="C46" s="69"/>
      <c r="D46" s="71"/>
      <c r="E46" s="71"/>
      <c r="F46" s="60">
        <v>337500</v>
      </c>
      <c r="G46" s="60"/>
      <c r="H46" s="60"/>
      <c r="I46" s="60">
        <v>67500</v>
      </c>
      <c r="J46" s="60"/>
      <c r="K46" s="60">
        <f>F46-I46</f>
        <v>270000</v>
      </c>
      <c r="L46" s="61"/>
    </row>
    <row r="47" spans="1:12" s="62" customFormat="1" x14ac:dyDescent="0.25">
      <c r="A47" s="69" t="s">
        <v>116</v>
      </c>
      <c r="B47" s="70" t="s">
        <v>117</v>
      </c>
      <c r="C47" s="69"/>
      <c r="D47" s="71"/>
      <c r="E47" s="71"/>
      <c r="F47" s="60">
        <v>1053530</v>
      </c>
      <c r="G47" s="60"/>
      <c r="H47" s="60"/>
      <c r="I47" s="60">
        <f>I49</f>
        <v>211500</v>
      </c>
      <c r="J47" s="60"/>
      <c r="K47" s="60">
        <f>F47-I47</f>
        <v>842030</v>
      </c>
      <c r="L47" s="61"/>
    </row>
    <row r="48" spans="1:12" s="38" customFormat="1" x14ac:dyDescent="0.25">
      <c r="A48" s="39"/>
      <c r="B48" s="48" t="s">
        <v>40</v>
      </c>
      <c r="C48" s="1"/>
      <c r="D48" s="68"/>
      <c r="E48" s="68"/>
      <c r="F48" s="34"/>
      <c r="G48" s="34"/>
      <c r="H48" s="34"/>
      <c r="I48" s="34"/>
      <c r="J48" s="34"/>
      <c r="K48" s="34"/>
      <c r="L48" s="40"/>
    </row>
    <row r="49" spans="1:14" s="38" customFormat="1" ht="31.5" x14ac:dyDescent="0.25">
      <c r="A49" s="39" t="s">
        <v>121</v>
      </c>
      <c r="B49" s="72" t="s">
        <v>118</v>
      </c>
      <c r="C49" s="47" t="s">
        <v>181</v>
      </c>
      <c r="D49" s="73">
        <v>546680</v>
      </c>
      <c r="E49" s="73">
        <f>D49</f>
        <v>546680</v>
      </c>
      <c r="F49" s="2">
        <v>418538</v>
      </c>
      <c r="G49" s="34"/>
      <c r="H49" s="34"/>
      <c r="I49" s="2">
        <v>211500</v>
      </c>
      <c r="J49" s="2"/>
      <c r="K49" s="45">
        <f>F49-I49</f>
        <v>207038</v>
      </c>
      <c r="L49" s="48" t="s">
        <v>198</v>
      </c>
    </row>
    <row r="50" spans="1:14" s="62" customFormat="1" ht="31.5" x14ac:dyDescent="0.25">
      <c r="A50" s="69" t="s">
        <v>119</v>
      </c>
      <c r="B50" s="70" t="s">
        <v>120</v>
      </c>
      <c r="C50" s="69"/>
      <c r="D50" s="71"/>
      <c r="E50" s="71"/>
      <c r="F50" s="60">
        <v>858970</v>
      </c>
      <c r="G50" s="60"/>
      <c r="H50" s="60"/>
      <c r="I50" s="60">
        <f>SUM(I51:I56)</f>
        <v>171000</v>
      </c>
      <c r="J50" s="60"/>
      <c r="K50" s="60">
        <f>F50-I50</f>
        <v>687970</v>
      </c>
      <c r="L50" s="61"/>
      <c r="M50" s="62">
        <f>I50/I44*100</f>
        <v>38</v>
      </c>
    </row>
    <row r="51" spans="1:14" x14ac:dyDescent="0.25">
      <c r="A51" s="3"/>
      <c r="B51" s="48" t="s">
        <v>40</v>
      </c>
      <c r="C51" s="49"/>
      <c r="D51" s="49"/>
      <c r="E51" s="49"/>
      <c r="F51" s="48"/>
      <c r="G51" s="48"/>
      <c r="H51" s="48"/>
      <c r="I51" s="48"/>
      <c r="J51" s="48"/>
      <c r="K51" s="48"/>
      <c r="L51" s="50"/>
    </row>
    <row r="52" spans="1:14" ht="31.5" x14ac:dyDescent="0.25">
      <c r="A52" s="4" t="s">
        <v>121</v>
      </c>
      <c r="B52" s="48" t="s">
        <v>122</v>
      </c>
      <c r="C52" s="31" t="s">
        <v>182</v>
      </c>
      <c r="D52" s="74">
        <v>18000</v>
      </c>
      <c r="E52" s="74">
        <v>18000</v>
      </c>
      <c r="F52" s="2">
        <v>18000</v>
      </c>
      <c r="G52" s="48"/>
      <c r="H52" s="2"/>
      <c r="I52" s="2">
        <v>17239</v>
      </c>
      <c r="J52" s="2"/>
      <c r="K52" s="75">
        <f>F52-I52</f>
        <v>761</v>
      </c>
      <c r="L52" s="76" t="s">
        <v>127</v>
      </c>
      <c r="M52" s="26" t="s">
        <v>199</v>
      </c>
    </row>
    <row r="53" spans="1:14" ht="47.25" x14ac:dyDescent="0.25">
      <c r="A53" s="4" t="s">
        <v>121</v>
      </c>
      <c r="B53" s="48" t="s">
        <v>123</v>
      </c>
      <c r="C53" s="47" t="s">
        <v>155</v>
      </c>
      <c r="D53" s="73">
        <v>80000</v>
      </c>
      <c r="E53" s="73">
        <v>75000</v>
      </c>
      <c r="F53" s="2">
        <v>75000</v>
      </c>
      <c r="G53" s="48"/>
      <c r="H53" s="2"/>
      <c r="I53" s="2">
        <v>61000</v>
      </c>
      <c r="J53" s="2"/>
      <c r="K53" s="75">
        <f t="shared" ref="K53:K56" si="4">F53-I53</f>
        <v>14000</v>
      </c>
      <c r="L53" s="48" t="s">
        <v>221</v>
      </c>
    </row>
    <row r="54" spans="1:14" ht="47.25" x14ac:dyDescent="0.25">
      <c r="A54" s="4" t="s">
        <v>121</v>
      </c>
      <c r="B54" s="48" t="s">
        <v>124</v>
      </c>
      <c r="C54" s="49" t="s">
        <v>156</v>
      </c>
      <c r="D54" s="73">
        <v>175000</v>
      </c>
      <c r="E54" s="73">
        <v>175000</v>
      </c>
      <c r="F54" s="2">
        <v>81198</v>
      </c>
      <c r="G54" s="48"/>
      <c r="H54" s="2"/>
      <c r="I54" s="2">
        <v>37761</v>
      </c>
      <c r="J54" s="2"/>
      <c r="K54" s="75">
        <f t="shared" si="4"/>
        <v>43437</v>
      </c>
      <c r="L54" s="48" t="s">
        <v>222</v>
      </c>
    </row>
    <row r="55" spans="1:14" ht="47.25" x14ac:dyDescent="0.25">
      <c r="A55" s="4" t="s">
        <v>121</v>
      </c>
      <c r="B55" s="48" t="s">
        <v>125</v>
      </c>
      <c r="C55" s="31" t="s">
        <v>152</v>
      </c>
      <c r="D55" s="73">
        <v>60000</v>
      </c>
      <c r="E55" s="73">
        <f>D55</f>
        <v>60000</v>
      </c>
      <c r="F55" s="2">
        <v>60000</v>
      </c>
      <c r="G55" s="48"/>
      <c r="H55" s="2"/>
      <c r="I55" s="2">
        <v>29000</v>
      </c>
      <c r="J55" s="2"/>
      <c r="K55" s="75">
        <f t="shared" si="4"/>
        <v>31000</v>
      </c>
      <c r="L55" s="48" t="s">
        <v>221</v>
      </c>
    </row>
    <row r="56" spans="1:14" ht="63" x14ac:dyDescent="0.25">
      <c r="A56" s="4" t="s">
        <v>121</v>
      </c>
      <c r="B56" s="77" t="s">
        <v>126</v>
      </c>
      <c r="C56" s="49"/>
      <c r="D56" s="49"/>
      <c r="E56" s="49"/>
      <c r="F56" s="2">
        <v>26000</v>
      </c>
      <c r="G56" s="48"/>
      <c r="H56" s="2"/>
      <c r="I56" s="2">
        <v>26000</v>
      </c>
      <c r="J56" s="2"/>
      <c r="K56" s="75">
        <f t="shared" si="4"/>
        <v>0</v>
      </c>
      <c r="L56" s="48" t="s">
        <v>128</v>
      </c>
    </row>
    <row r="57" spans="1:14" s="38" customFormat="1" ht="31.5" x14ac:dyDescent="0.25">
      <c r="A57" s="5" t="s">
        <v>129</v>
      </c>
      <c r="B57" s="78" t="s">
        <v>130</v>
      </c>
      <c r="C57" s="65"/>
      <c r="D57" s="65"/>
      <c r="E57" s="65"/>
      <c r="F57" s="1"/>
      <c r="G57" s="79"/>
      <c r="H57" s="1"/>
      <c r="I57" s="1"/>
      <c r="J57" s="1"/>
      <c r="K57" s="80"/>
      <c r="L57" s="79"/>
    </row>
    <row r="58" spans="1:14" s="38" customFormat="1" x14ac:dyDescent="0.25">
      <c r="A58" s="39"/>
      <c r="B58" s="41" t="s">
        <v>14</v>
      </c>
      <c r="C58" s="69"/>
      <c r="D58" s="81"/>
      <c r="E58" s="81"/>
      <c r="F58" s="34"/>
      <c r="G58" s="34"/>
      <c r="H58" s="34"/>
      <c r="I58" s="34"/>
      <c r="J58" s="34"/>
      <c r="K58" s="34"/>
      <c r="L58" s="40"/>
    </row>
    <row r="59" spans="1:14" ht="94.5" x14ac:dyDescent="0.25">
      <c r="A59" s="42">
        <v>1</v>
      </c>
      <c r="B59" s="43" t="s">
        <v>79</v>
      </c>
      <c r="C59" s="47" t="s">
        <v>80</v>
      </c>
      <c r="D59" s="44">
        <v>11922</v>
      </c>
      <c r="E59" s="44">
        <v>10000</v>
      </c>
      <c r="F59" s="44">
        <v>10000</v>
      </c>
      <c r="G59" s="44"/>
      <c r="H59" s="44">
        <v>3000</v>
      </c>
      <c r="I59" s="44"/>
      <c r="J59" s="44"/>
      <c r="K59" s="45">
        <f t="shared" ref="K59:K67" si="5">F59+G59-H59</f>
        <v>7000</v>
      </c>
      <c r="L59" s="46" t="s">
        <v>81</v>
      </c>
    </row>
    <row r="60" spans="1:14" ht="47.25" x14ac:dyDescent="0.25">
      <c r="A60" s="42">
        <v>2</v>
      </c>
      <c r="B60" s="43" t="s">
        <v>82</v>
      </c>
      <c r="C60" s="47" t="s">
        <v>83</v>
      </c>
      <c r="D60" s="44">
        <v>7890</v>
      </c>
      <c r="E60" s="44">
        <v>7890</v>
      </c>
      <c r="F60" s="44">
        <v>4800</v>
      </c>
      <c r="G60" s="44"/>
      <c r="H60" s="44">
        <v>257</v>
      </c>
      <c r="I60" s="44"/>
      <c r="J60" s="44"/>
      <c r="K60" s="45">
        <f t="shared" si="5"/>
        <v>4543</v>
      </c>
      <c r="L60" s="46" t="s">
        <v>220</v>
      </c>
    </row>
    <row r="61" spans="1:14" ht="63" x14ac:dyDescent="0.25">
      <c r="A61" s="42">
        <v>3</v>
      </c>
      <c r="B61" s="43" t="s">
        <v>84</v>
      </c>
      <c r="C61" s="47" t="s">
        <v>85</v>
      </c>
      <c r="D61" s="82">
        <v>18948</v>
      </c>
      <c r="E61" s="82">
        <v>18948</v>
      </c>
      <c r="F61" s="44">
        <v>12000</v>
      </c>
      <c r="G61" s="44"/>
      <c r="H61" s="44">
        <v>3217</v>
      </c>
      <c r="I61" s="44"/>
      <c r="J61" s="44"/>
      <c r="K61" s="45">
        <f t="shared" si="5"/>
        <v>8783</v>
      </c>
      <c r="L61" s="46" t="s">
        <v>219</v>
      </c>
    </row>
    <row r="62" spans="1:14" ht="31.5" x14ac:dyDescent="0.25">
      <c r="A62" s="42">
        <v>4</v>
      </c>
      <c r="B62" s="43" t="s">
        <v>86</v>
      </c>
      <c r="C62" s="47" t="s">
        <v>87</v>
      </c>
      <c r="D62" s="82">
        <v>7300</v>
      </c>
      <c r="E62" s="82">
        <v>7300</v>
      </c>
      <c r="F62" s="44">
        <v>6500</v>
      </c>
      <c r="G62" s="44"/>
      <c r="H62" s="44">
        <v>1282</v>
      </c>
      <c r="I62" s="44"/>
      <c r="J62" s="44"/>
      <c r="K62" s="45">
        <f t="shared" si="5"/>
        <v>5218</v>
      </c>
      <c r="L62" s="46" t="s">
        <v>219</v>
      </c>
    </row>
    <row r="63" spans="1:14" ht="31.5" x14ac:dyDescent="0.25">
      <c r="A63" s="42">
        <v>5</v>
      </c>
      <c r="B63" s="43" t="s">
        <v>88</v>
      </c>
      <c r="C63" s="47" t="s">
        <v>178</v>
      </c>
      <c r="D63" s="82">
        <v>63100</v>
      </c>
      <c r="E63" s="82">
        <v>63100</v>
      </c>
      <c r="F63" s="44">
        <v>49100</v>
      </c>
      <c r="G63" s="44"/>
      <c r="H63" s="44">
        <v>2149</v>
      </c>
      <c r="I63" s="44"/>
      <c r="J63" s="44"/>
      <c r="K63" s="45">
        <f t="shared" si="5"/>
        <v>46951</v>
      </c>
      <c r="L63" s="46" t="s">
        <v>89</v>
      </c>
    </row>
    <row r="64" spans="1:14" s="52" customFormat="1" ht="72.599999999999994" customHeight="1" x14ac:dyDescent="0.25">
      <c r="A64" s="42">
        <v>6</v>
      </c>
      <c r="B64" s="43" t="s">
        <v>206</v>
      </c>
      <c r="C64" s="47" t="s">
        <v>207</v>
      </c>
      <c r="D64" s="55">
        <v>2446067</v>
      </c>
      <c r="E64" s="24">
        <v>216645</v>
      </c>
      <c r="F64" s="56">
        <f>130000+20447</f>
        <v>150447</v>
      </c>
      <c r="G64" s="44"/>
      <c r="H64" s="44">
        <v>50000</v>
      </c>
      <c r="I64" s="44"/>
      <c r="J64" s="44"/>
      <c r="K64" s="45">
        <f>F64-H64</f>
        <v>100447</v>
      </c>
      <c r="L64" s="49" t="s">
        <v>208</v>
      </c>
      <c r="M64" s="26"/>
      <c r="N64" s="26"/>
    </row>
    <row r="65" spans="1:14" s="38" customFormat="1" x14ac:dyDescent="0.25">
      <c r="A65" s="39"/>
      <c r="B65" s="41" t="s">
        <v>31</v>
      </c>
      <c r="C65" s="69"/>
      <c r="D65" s="81"/>
      <c r="E65" s="81"/>
      <c r="F65" s="34"/>
      <c r="G65" s="34"/>
      <c r="H65" s="34"/>
      <c r="I65" s="34"/>
      <c r="J65" s="34"/>
      <c r="K65" s="34"/>
      <c r="L65" s="40"/>
    </row>
    <row r="66" spans="1:14" ht="47.25" x14ac:dyDescent="0.25">
      <c r="A66" s="42">
        <v>1</v>
      </c>
      <c r="B66" s="43" t="s">
        <v>90</v>
      </c>
      <c r="C66" s="47" t="s">
        <v>91</v>
      </c>
      <c r="D66" s="82">
        <v>9500</v>
      </c>
      <c r="E66" s="82">
        <v>3000</v>
      </c>
      <c r="F66" s="44">
        <v>0</v>
      </c>
      <c r="G66" s="44">
        <v>3000</v>
      </c>
      <c r="H66" s="44"/>
      <c r="I66" s="44"/>
      <c r="J66" s="44"/>
      <c r="K66" s="45">
        <f t="shared" si="5"/>
        <v>3000</v>
      </c>
      <c r="L66" s="54" t="s">
        <v>92</v>
      </c>
    </row>
    <row r="67" spans="1:14" ht="47.25" x14ac:dyDescent="0.25">
      <c r="A67" s="42">
        <v>2</v>
      </c>
      <c r="B67" s="43" t="s">
        <v>93</v>
      </c>
      <c r="C67" s="47" t="s">
        <v>109</v>
      </c>
      <c r="D67" s="82">
        <v>251951</v>
      </c>
      <c r="E67" s="82">
        <v>251951</v>
      </c>
      <c r="F67" s="44">
        <v>62000</v>
      </c>
      <c r="G67" s="44">
        <v>6905</v>
      </c>
      <c r="H67" s="44"/>
      <c r="I67" s="44"/>
      <c r="J67" s="44"/>
      <c r="K67" s="45">
        <f t="shared" si="5"/>
        <v>68905</v>
      </c>
      <c r="L67" s="49" t="s">
        <v>94</v>
      </c>
    </row>
    <row r="68" spans="1:14" s="52" customFormat="1" ht="47.25" x14ac:dyDescent="0.25">
      <c r="A68" s="42">
        <v>3</v>
      </c>
      <c r="B68" s="43" t="s">
        <v>209</v>
      </c>
      <c r="C68" s="47" t="s">
        <v>217</v>
      </c>
      <c r="D68" s="55">
        <f>998151+96170</f>
        <v>1094321</v>
      </c>
      <c r="E68" s="55">
        <f>255679+96170</f>
        <v>351849</v>
      </c>
      <c r="F68" s="56">
        <v>0</v>
      </c>
      <c r="G68" s="44">
        <v>50000</v>
      </c>
      <c r="H68" s="44"/>
      <c r="I68" s="44"/>
      <c r="J68" s="44"/>
      <c r="K68" s="45">
        <f>F68+G68</f>
        <v>50000</v>
      </c>
      <c r="L68" s="49" t="s">
        <v>218</v>
      </c>
      <c r="M68" s="26"/>
      <c r="N68" s="26"/>
    </row>
    <row r="69" spans="1:14" s="38" customFormat="1" ht="31.5" x14ac:dyDescent="0.25">
      <c r="A69" s="39" t="s">
        <v>112</v>
      </c>
      <c r="B69" s="67" t="s">
        <v>110</v>
      </c>
      <c r="C69" s="39"/>
      <c r="D69" s="68"/>
      <c r="E69" s="68"/>
      <c r="F69" s="34">
        <v>1030000</v>
      </c>
      <c r="G69" s="34">
        <f>SUM(G76:G81)</f>
        <v>42000</v>
      </c>
      <c r="H69" s="34">
        <f>SUM(H76:H81)</f>
        <v>42000</v>
      </c>
      <c r="I69" s="34">
        <f>I71+I72</f>
        <v>150000</v>
      </c>
      <c r="J69" s="34"/>
      <c r="K69" s="34">
        <f>F69-I69</f>
        <v>880000</v>
      </c>
      <c r="L69" s="40"/>
    </row>
    <row r="70" spans="1:14" s="38" customFormat="1" ht="31.5" x14ac:dyDescent="0.25">
      <c r="A70" s="39" t="s">
        <v>129</v>
      </c>
      <c r="B70" s="67" t="s">
        <v>108</v>
      </c>
      <c r="C70" s="39"/>
      <c r="D70" s="68"/>
      <c r="E70" s="68"/>
      <c r="F70" s="34"/>
      <c r="G70" s="34"/>
      <c r="H70" s="34"/>
      <c r="I70" s="34"/>
      <c r="J70" s="34"/>
      <c r="K70" s="34"/>
      <c r="L70" s="40"/>
    </row>
    <row r="71" spans="1:14" s="62" customFormat="1" x14ac:dyDescent="0.25">
      <c r="A71" s="69">
        <v>1</v>
      </c>
      <c r="B71" s="70" t="s">
        <v>115</v>
      </c>
      <c r="C71" s="69"/>
      <c r="D71" s="71"/>
      <c r="E71" s="71"/>
      <c r="F71" s="60">
        <v>154500</v>
      </c>
      <c r="G71" s="60"/>
      <c r="H71" s="60"/>
      <c r="I71" s="60">
        <v>22500</v>
      </c>
      <c r="J71" s="60"/>
      <c r="K71" s="60">
        <f>F71-I71</f>
        <v>132000</v>
      </c>
      <c r="L71" s="61"/>
    </row>
    <row r="72" spans="1:14" s="62" customFormat="1" ht="31.5" x14ac:dyDescent="0.25">
      <c r="A72" s="69" t="s">
        <v>116</v>
      </c>
      <c r="B72" s="83" t="s">
        <v>131</v>
      </c>
      <c r="C72" s="69"/>
      <c r="D72" s="71"/>
      <c r="E72" s="71"/>
      <c r="F72" s="60">
        <v>875500</v>
      </c>
      <c r="G72" s="60"/>
      <c r="H72" s="60"/>
      <c r="I72" s="60">
        <f>SUM(I73:I76)</f>
        <v>127500</v>
      </c>
      <c r="J72" s="60"/>
      <c r="K72" s="60">
        <f>F72-I72</f>
        <v>748000</v>
      </c>
      <c r="L72" s="61"/>
    </row>
    <row r="73" spans="1:14" x14ac:dyDescent="0.25">
      <c r="A73" s="3"/>
      <c r="B73" s="48" t="s">
        <v>40</v>
      </c>
      <c r="C73" s="49"/>
      <c r="D73" s="49"/>
      <c r="E73" s="49"/>
      <c r="F73" s="48"/>
      <c r="G73" s="48"/>
      <c r="H73" s="48"/>
      <c r="I73" s="48"/>
      <c r="J73" s="48"/>
      <c r="K73" s="48"/>
      <c r="L73" s="50"/>
    </row>
    <row r="74" spans="1:14" ht="63" x14ac:dyDescent="0.25">
      <c r="A74" s="47" t="s">
        <v>121</v>
      </c>
      <c r="B74" s="49" t="s">
        <v>75</v>
      </c>
      <c r="C74" s="49"/>
      <c r="D74" s="49"/>
      <c r="E74" s="49"/>
      <c r="F74" s="44">
        <v>36000</v>
      </c>
      <c r="G74" s="44"/>
      <c r="H74" s="44"/>
      <c r="I74" s="44">
        <v>36000</v>
      </c>
      <c r="J74" s="44"/>
      <c r="K74" s="48">
        <f>F74-I74</f>
        <v>0</v>
      </c>
      <c r="L74" s="48" t="s">
        <v>226</v>
      </c>
    </row>
    <row r="75" spans="1:14" ht="47.25" x14ac:dyDescent="0.25">
      <c r="A75" s="47" t="s">
        <v>121</v>
      </c>
      <c r="B75" s="77" t="s">
        <v>132</v>
      </c>
      <c r="C75" s="47" t="s">
        <v>195</v>
      </c>
      <c r="D75" s="44">
        <v>345355</v>
      </c>
      <c r="E75" s="44">
        <v>345355</v>
      </c>
      <c r="F75" s="44">
        <v>345355</v>
      </c>
      <c r="G75" s="44"/>
      <c r="H75" s="44"/>
      <c r="I75" s="44">
        <v>14735</v>
      </c>
      <c r="J75" s="44"/>
      <c r="K75" s="44">
        <f>F75-I75</f>
        <v>330620</v>
      </c>
      <c r="L75" s="48" t="s">
        <v>133</v>
      </c>
    </row>
    <row r="76" spans="1:14" ht="126" x14ac:dyDescent="0.25">
      <c r="A76" s="42" t="s">
        <v>121</v>
      </c>
      <c r="B76" s="84" t="s">
        <v>95</v>
      </c>
      <c r="C76" s="47"/>
      <c r="D76" s="82"/>
      <c r="E76" s="82"/>
      <c r="F76" s="44">
        <f>222565-40800-48000</f>
        <v>133765</v>
      </c>
      <c r="G76" s="44"/>
      <c r="H76" s="44"/>
      <c r="I76" s="44">
        <v>76765</v>
      </c>
      <c r="J76" s="44"/>
      <c r="K76" s="45">
        <f>F76-I76</f>
        <v>57000</v>
      </c>
      <c r="L76" s="53" t="s">
        <v>233</v>
      </c>
    </row>
    <row r="77" spans="1:14" s="38" customFormat="1" ht="31.5" x14ac:dyDescent="0.25">
      <c r="A77" s="5" t="s">
        <v>129</v>
      </c>
      <c r="B77" s="78" t="s">
        <v>130</v>
      </c>
      <c r="C77" s="65"/>
      <c r="D77" s="65"/>
      <c r="E77" s="65"/>
      <c r="F77" s="1"/>
      <c r="G77" s="79"/>
      <c r="H77" s="1"/>
      <c r="I77" s="1"/>
      <c r="J77" s="1"/>
      <c r="K77" s="80"/>
      <c r="L77" s="79"/>
    </row>
    <row r="78" spans="1:14" s="38" customFormat="1" x14ac:dyDescent="0.25">
      <c r="A78" s="39"/>
      <c r="B78" s="41" t="s">
        <v>14</v>
      </c>
      <c r="C78" s="69"/>
      <c r="D78" s="81"/>
      <c r="E78" s="81"/>
      <c r="F78" s="34"/>
      <c r="G78" s="34"/>
      <c r="H78" s="34"/>
      <c r="I78" s="34"/>
      <c r="J78" s="34"/>
      <c r="K78" s="34"/>
      <c r="L78" s="40"/>
    </row>
    <row r="79" spans="1:14" ht="110.25" x14ac:dyDescent="0.25">
      <c r="A79" s="42">
        <v>1</v>
      </c>
      <c r="B79" s="84" t="s">
        <v>95</v>
      </c>
      <c r="C79" s="47"/>
      <c r="D79" s="82"/>
      <c r="E79" s="82"/>
      <c r="F79" s="44">
        <f>K76</f>
        <v>57000</v>
      </c>
      <c r="G79" s="44"/>
      <c r="H79" s="44">
        <v>42000</v>
      </c>
      <c r="I79" s="44"/>
      <c r="J79" s="44"/>
      <c r="K79" s="45">
        <f>F79-H79-I79</f>
        <v>15000</v>
      </c>
      <c r="L79" s="53" t="s">
        <v>234</v>
      </c>
    </row>
    <row r="80" spans="1:14" s="38" customFormat="1" x14ac:dyDescent="0.25">
      <c r="A80" s="39"/>
      <c r="B80" s="41" t="s">
        <v>31</v>
      </c>
      <c r="C80" s="69"/>
      <c r="D80" s="81"/>
      <c r="E80" s="81"/>
      <c r="F80" s="34"/>
      <c r="G80" s="34"/>
      <c r="H80" s="34"/>
      <c r="I80" s="34"/>
      <c r="J80" s="34"/>
      <c r="K80" s="34"/>
      <c r="L80" s="40"/>
    </row>
    <row r="81" spans="1:13" ht="47.25" x14ac:dyDescent="0.25">
      <c r="A81" s="42">
        <v>1</v>
      </c>
      <c r="B81" s="43" t="s">
        <v>32</v>
      </c>
      <c r="C81" s="47" t="s">
        <v>33</v>
      </c>
      <c r="D81" s="44">
        <v>1152920</v>
      </c>
      <c r="E81" s="44">
        <v>134560</v>
      </c>
      <c r="F81" s="44">
        <v>0</v>
      </c>
      <c r="G81" s="44">
        <v>42000</v>
      </c>
      <c r="H81" s="44"/>
      <c r="I81" s="44"/>
      <c r="J81" s="44"/>
      <c r="K81" s="45">
        <f t="shared" ref="K81" si="6">F81+G81-H81</f>
        <v>42000</v>
      </c>
      <c r="L81" s="54" t="s">
        <v>111</v>
      </c>
    </row>
    <row r="82" spans="1:13" s="38" customFormat="1" ht="31.5" x14ac:dyDescent="0.25">
      <c r="A82" s="39" t="s">
        <v>113</v>
      </c>
      <c r="B82" s="67" t="s">
        <v>114</v>
      </c>
      <c r="C82" s="39"/>
      <c r="D82" s="68"/>
      <c r="E82" s="68"/>
      <c r="F82" s="34">
        <v>110000</v>
      </c>
      <c r="G82" s="34">
        <f>SUM(G85:G90)</f>
        <v>28700</v>
      </c>
      <c r="H82" s="34">
        <f>SUM(H85:H90)</f>
        <v>28700</v>
      </c>
      <c r="I82" s="34"/>
      <c r="J82" s="34"/>
      <c r="K82" s="34">
        <v>110000</v>
      </c>
      <c r="L82" s="40"/>
    </row>
    <row r="83" spans="1:13" x14ac:dyDescent="0.25">
      <c r="A83" s="3"/>
      <c r="B83" s="48" t="s">
        <v>40</v>
      </c>
      <c r="C83" s="49"/>
      <c r="D83" s="49"/>
      <c r="E83" s="49"/>
      <c r="F83" s="48"/>
      <c r="G83" s="48"/>
      <c r="H83" s="48"/>
      <c r="I83" s="48"/>
      <c r="J83" s="48"/>
      <c r="K83" s="48"/>
      <c r="L83" s="50"/>
    </row>
    <row r="84" spans="1:13" s="38" customFormat="1" x14ac:dyDescent="0.25">
      <c r="A84" s="39"/>
      <c r="B84" s="41" t="s">
        <v>14</v>
      </c>
      <c r="C84" s="69"/>
      <c r="D84" s="81"/>
      <c r="E84" s="81"/>
      <c r="F84" s="34"/>
      <c r="G84" s="34"/>
      <c r="H84" s="34"/>
      <c r="I84" s="34"/>
      <c r="J84" s="34"/>
      <c r="K84" s="34"/>
      <c r="L84" s="40"/>
    </row>
    <row r="85" spans="1:13" ht="126" x14ac:dyDescent="0.25">
      <c r="A85" s="47">
        <v>1</v>
      </c>
      <c r="B85" s="49" t="s">
        <v>97</v>
      </c>
      <c r="C85" s="47"/>
      <c r="D85" s="82"/>
      <c r="E85" s="82"/>
      <c r="F85" s="85">
        <v>62859.5</v>
      </c>
      <c r="G85" s="48"/>
      <c r="H85" s="44">
        <v>28700</v>
      </c>
      <c r="I85" s="44"/>
      <c r="J85" s="44"/>
      <c r="K85" s="86">
        <f t="shared" ref="K85:K90" si="7">F85+G85-H85</f>
        <v>34159.5</v>
      </c>
      <c r="L85" s="57" t="s">
        <v>98</v>
      </c>
    </row>
    <row r="86" spans="1:13" s="38" customFormat="1" x14ac:dyDescent="0.25">
      <c r="A86" s="39"/>
      <c r="B86" s="41" t="s">
        <v>31</v>
      </c>
      <c r="C86" s="69"/>
      <c r="D86" s="81"/>
      <c r="E86" s="81"/>
      <c r="F86" s="34"/>
      <c r="G86" s="34"/>
      <c r="H86" s="34"/>
      <c r="I86" s="34"/>
      <c r="J86" s="34"/>
      <c r="K86" s="34"/>
      <c r="L86" s="40"/>
    </row>
    <row r="87" spans="1:13" ht="31.5" x14ac:dyDescent="0.25">
      <c r="A87" s="47">
        <v>1</v>
      </c>
      <c r="B87" s="49" t="s">
        <v>99</v>
      </c>
      <c r="C87" s="47" t="s">
        <v>179</v>
      </c>
      <c r="D87" s="82">
        <v>51660</v>
      </c>
      <c r="E87" s="82">
        <v>14360</v>
      </c>
      <c r="F87" s="44">
        <v>1600</v>
      </c>
      <c r="G87" s="44">
        <v>2000</v>
      </c>
      <c r="H87" s="48"/>
      <c r="I87" s="48"/>
      <c r="J87" s="48"/>
      <c r="K87" s="45">
        <f t="shared" si="7"/>
        <v>3600</v>
      </c>
      <c r="L87" s="50" t="s">
        <v>100</v>
      </c>
    </row>
    <row r="88" spans="1:13" ht="31.5" x14ac:dyDescent="0.25">
      <c r="A88" s="47">
        <v>2</v>
      </c>
      <c r="B88" s="49" t="s">
        <v>101</v>
      </c>
      <c r="C88" s="47" t="s">
        <v>102</v>
      </c>
      <c r="D88" s="82">
        <v>104000</v>
      </c>
      <c r="E88" s="82">
        <v>4000</v>
      </c>
      <c r="F88" s="44">
        <v>3900</v>
      </c>
      <c r="G88" s="44">
        <v>400</v>
      </c>
      <c r="H88" s="48"/>
      <c r="I88" s="48"/>
      <c r="J88" s="48"/>
      <c r="K88" s="45">
        <f t="shared" si="7"/>
        <v>4300</v>
      </c>
      <c r="L88" s="50" t="s">
        <v>100</v>
      </c>
    </row>
    <row r="89" spans="1:13" ht="31.5" x14ac:dyDescent="0.25">
      <c r="A89" s="47">
        <v>3</v>
      </c>
      <c r="B89" s="49" t="s">
        <v>103</v>
      </c>
      <c r="C89" s="47" t="s">
        <v>227</v>
      </c>
      <c r="D89" s="82">
        <v>1300</v>
      </c>
      <c r="E89" s="82">
        <v>1300</v>
      </c>
      <c r="F89" s="44">
        <v>0</v>
      </c>
      <c r="G89" s="44">
        <v>1300</v>
      </c>
      <c r="H89" s="48"/>
      <c r="I89" s="48"/>
      <c r="J89" s="48"/>
      <c r="K89" s="45">
        <f t="shared" si="7"/>
        <v>1300</v>
      </c>
      <c r="L89" s="50" t="s">
        <v>210</v>
      </c>
    </row>
    <row r="90" spans="1:13" ht="31.5" x14ac:dyDescent="0.25">
      <c r="A90" s="47">
        <v>4</v>
      </c>
      <c r="B90" s="49" t="s">
        <v>104</v>
      </c>
      <c r="C90" s="47" t="s">
        <v>228</v>
      </c>
      <c r="D90" s="82">
        <v>25000</v>
      </c>
      <c r="E90" s="82">
        <v>25000</v>
      </c>
      <c r="F90" s="44">
        <v>0</v>
      </c>
      <c r="G90" s="44">
        <v>25000</v>
      </c>
      <c r="H90" s="48"/>
      <c r="I90" s="48"/>
      <c r="J90" s="48"/>
      <c r="K90" s="45">
        <f t="shared" si="7"/>
        <v>25000</v>
      </c>
      <c r="L90" s="50" t="s">
        <v>210</v>
      </c>
    </row>
    <row r="91" spans="1:13" s="38" customFormat="1" ht="47.25" x14ac:dyDescent="0.25">
      <c r="A91" s="39" t="s">
        <v>96</v>
      </c>
      <c r="B91" s="65" t="s">
        <v>185</v>
      </c>
      <c r="C91" s="65"/>
      <c r="D91" s="34">
        <f>D92+D111</f>
        <v>5587755.7919999994</v>
      </c>
      <c r="E91" s="34">
        <f t="shared" ref="E91:K91" si="8">E92+E111</f>
        <v>3310181.5</v>
      </c>
      <c r="F91" s="34">
        <f t="shared" si="8"/>
        <v>1171087</v>
      </c>
      <c r="G91" s="87">
        <f t="shared" si="8"/>
        <v>537913.30619999999</v>
      </c>
      <c r="H91" s="87">
        <f t="shared" si="8"/>
        <v>537913.30619999999</v>
      </c>
      <c r="I91" s="87"/>
      <c r="J91" s="34">
        <f t="shared" ref="J91" si="9">J92+J111</f>
        <v>277800</v>
      </c>
      <c r="K91" s="34">
        <f t="shared" si="8"/>
        <v>1448887</v>
      </c>
      <c r="L91" s="40" t="s">
        <v>189</v>
      </c>
      <c r="M91" s="37"/>
    </row>
    <row r="92" spans="1:13" s="38" customFormat="1" x14ac:dyDescent="0.25">
      <c r="A92" s="39" t="s">
        <v>184</v>
      </c>
      <c r="B92" s="65" t="s">
        <v>186</v>
      </c>
      <c r="C92" s="65"/>
      <c r="D92" s="34">
        <f>SUM(D93:D110)</f>
        <v>2683459.2919999999</v>
      </c>
      <c r="E92" s="34">
        <f t="shared" ref="E92:K92" si="10">SUM(E93:E110)</f>
        <v>1426122</v>
      </c>
      <c r="F92" s="34">
        <f t="shared" si="10"/>
        <v>796015</v>
      </c>
      <c r="G92" s="34">
        <f>SUM(G93:G110)</f>
        <v>331985</v>
      </c>
      <c r="H92" s="34">
        <f>SUM(H93:H110)</f>
        <v>331985</v>
      </c>
      <c r="I92" s="34"/>
      <c r="J92" s="34"/>
      <c r="K92" s="34">
        <f t="shared" si="10"/>
        <v>796015</v>
      </c>
      <c r="L92" s="40"/>
      <c r="M92" s="37">
        <f>G92-H92</f>
        <v>0</v>
      </c>
    </row>
    <row r="93" spans="1:13" s="38" customFormat="1" x14ac:dyDescent="0.25">
      <c r="A93" s="39"/>
      <c r="B93" s="41" t="s">
        <v>14</v>
      </c>
      <c r="C93" s="69"/>
      <c r="D93" s="81"/>
      <c r="E93" s="81"/>
      <c r="F93" s="34"/>
      <c r="G93" s="34"/>
      <c r="H93" s="34"/>
      <c r="I93" s="34"/>
      <c r="J93" s="34"/>
      <c r="K93" s="34"/>
      <c r="L93" s="40"/>
    </row>
    <row r="94" spans="1:13" ht="31.5" x14ac:dyDescent="0.25">
      <c r="A94" s="47">
        <v>1</v>
      </c>
      <c r="B94" s="88" t="s">
        <v>134</v>
      </c>
      <c r="C94" s="89" t="s">
        <v>135</v>
      </c>
      <c r="D94" s="90">
        <v>49847</v>
      </c>
      <c r="E94" s="90">
        <v>34275</v>
      </c>
      <c r="F94" s="90">
        <v>2448</v>
      </c>
      <c r="G94" s="90"/>
      <c r="H94" s="90">
        <f>F94</f>
        <v>2448</v>
      </c>
      <c r="I94" s="51"/>
      <c r="J94" s="48"/>
      <c r="K94" s="45">
        <f>F94+G94-H94</f>
        <v>0</v>
      </c>
      <c r="L94" s="48" t="s">
        <v>136</v>
      </c>
    </row>
    <row r="95" spans="1:13" ht="31.5" x14ac:dyDescent="0.25">
      <c r="A95" s="47">
        <v>2</v>
      </c>
      <c r="B95" s="88" t="s">
        <v>137</v>
      </c>
      <c r="C95" s="89" t="s">
        <v>138</v>
      </c>
      <c r="D95" s="90">
        <v>117420.292</v>
      </c>
      <c r="E95" s="90">
        <v>57935</v>
      </c>
      <c r="F95" s="90">
        <v>20000</v>
      </c>
      <c r="G95" s="90"/>
      <c r="H95" s="90">
        <v>200</v>
      </c>
      <c r="I95" s="48"/>
      <c r="J95" s="48"/>
      <c r="K95" s="45">
        <f>F95+G95-H95</f>
        <v>19800</v>
      </c>
      <c r="L95" s="48" t="s">
        <v>136</v>
      </c>
    </row>
    <row r="96" spans="1:13" ht="31.5" x14ac:dyDescent="0.25">
      <c r="A96" s="47">
        <v>3</v>
      </c>
      <c r="B96" s="88" t="s">
        <v>139</v>
      </c>
      <c r="C96" s="89" t="s">
        <v>142</v>
      </c>
      <c r="D96" s="90">
        <v>298890</v>
      </c>
      <c r="E96" s="90">
        <v>267538</v>
      </c>
      <c r="F96" s="90">
        <v>46326</v>
      </c>
      <c r="G96" s="90"/>
      <c r="H96" s="90">
        <v>17745</v>
      </c>
      <c r="I96" s="48"/>
      <c r="J96" s="48"/>
      <c r="K96" s="45">
        <f>F96+G96-H96</f>
        <v>28581</v>
      </c>
      <c r="L96" s="48" t="s">
        <v>136</v>
      </c>
    </row>
    <row r="97" spans="1:14" ht="31.5" x14ac:dyDescent="0.25">
      <c r="A97" s="47">
        <v>4</v>
      </c>
      <c r="B97" s="88" t="s">
        <v>140</v>
      </c>
      <c r="C97" s="89" t="s">
        <v>141</v>
      </c>
      <c r="D97" s="90">
        <v>71990</v>
      </c>
      <c r="E97" s="90">
        <v>64400</v>
      </c>
      <c r="F97" s="90">
        <v>8626</v>
      </c>
      <c r="G97" s="90"/>
      <c r="H97" s="90">
        <v>549</v>
      </c>
      <c r="I97" s="48"/>
      <c r="J97" s="48"/>
      <c r="K97" s="45">
        <f>F97+G97-H97</f>
        <v>8077</v>
      </c>
      <c r="L97" s="48" t="s">
        <v>136</v>
      </c>
    </row>
    <row r="98" spans="1:14" ht="31.5" x14ac:dyDescent="0.25">
      <c r="A98" s="47">
        <v>5</v>
      </c>
      <c r="B98" s="88" t="s">
        <v>143</v>
      </c>
      <c r="C98" s="89" t="s">
        <v>145</v>
      </c>
      <c r="D98" s="90">
        <v>82779</v>
      </c>
      <c r="E98" s="90">
        <v>81000</v>
      </c>
      <c r="F98" s="90">
        <v>9735</v>
      </c>
      <c r="G98" s="90"/>
      <c r="H98" s="90">
        <v>185</v>
      </c>
      <c r="I98" s="48"/>
      <c r="J98" s="48"/>
      <c r="K98" s="45">
        <f t="shared" ref="K98:K100" si="11">F98+G98-H98</f>
        <v>9550</v>
      </c>
      <c r="L98" s="48" t="s">
        <v>136</v>
      </c>
    </row>
    <row r="99" spans="1:14" ht="31.5" x14ac:dyDescent="0.25">
      <c r="A99" s="47">
        <v>6</v>
      </c>
      <c r="B99" s="88" t="s">
        <v>144</v>
      </c>
      <c r="C99" s="89" t="s">
        <v>146</v>
      </c>
      <c r="D99" s="90">
        <v>135000</v>
      </c>
      <c r="E99" s="90">
        <v>131874</v>
      </c>
      <c r="F99" s="90">
        <v>65880</v>
      </c>
      <c r="G99" s="90"/>
      <c r="H99" s="90">
        <v>19522</v>
      </c>
      <c r="I99" s="48"/>
      <c r="J99" s="48"/>
      <c r="K99" s="45">
        <f t="shared" si="11"/>
        <v>46358</v>
      </c>
      <c r="L99" s="48" t="s">
        <v>136</v>
      </c>
    </row>
    <row r="100" spans="1:14" ht="47.25" x14ac:dyDescent="0.25">
      <c r="A100" s="47">
        <v>7</v>
      </c>
      <c r="B100" s="48" t="s">
        <v>147</v>
      </c>
      <c r="C100" s="89" t="s">
        <v>148</v>
      </c>
      <c r="D100" s="90">
        <v>921698</v>
      </c>
      <c r="E100" s="90">
        <v>225400</v>
      </c>
      <c r="F100" s="90">
        <v>178000</v>
      </c>
      <c r="G100" s="90"/>
      <c r="H100" s="90">
        <v>111336</v>
      </c>
      <c r="I100" s="51"/>
      <c r="J100" s="48"/>
      <c r="K100" s="45">
        <f t="shared" si="11"/>
        <v>66664</v>
      </c>
      <c r="L100" s="48" t="s">
        <v>205</v>
      </c>
    </row>
    <row r="101" spans="1:14" ht="31.5" x14ac:dyDescent="0.25">
      <c r="A101" s="47">
        <v>8</v>
      </c>
      <c r="B101" s="48" t="s">
        <v>150</v>
      </c>
      <c r="C101" s="89" t="s">
        <v>151</v>
      </c>
      <c r="D101" s="90">
        <v>200000</v>
      </c>
      <c r="E101" s="90">
        <v>50000</v>
      </c>
      <c r="F101" s="90">
        <v>200000</v>
      </c>
      <c r="G101" s="90"/>
      <c r="H101" s="90">
        <v>150000</v>
      </c>
      <c r="I101" s="90"/>
      <c r="J101" s="90"/>
      <c r="K101" s="45">
        <f t="shared" ref="K101:K110" si="12">F101+G101-H101</f>
        <v>50000</v>
      </c>
      <c r="L101" s="48" t="s">
        <v>205</v>
      </c>
    </row>
    <row r="102" spans="1:14" s="52" customFormat="1" ht="63" x14ac:dyDescent="0.25">
      <c r="A102" s="47">
        <v>9</v>
      </c>
      <c r="B102" s="48" t="s">
        <v>201</v>
      </c>
      <c r="C102" s="89" t="s">
        <v>202</v>
      </c>
      <c r="D102" s="90">
        <v>101250</v>
      </c>
      <c r="E102" s="90">
        <v>101250</v>
      </c>
      <c r="F102" s="90">
        <v>101250</v>
      </c>
      <c r="G102" s="90"/>
      <c r="H102" s="90">
        <v>30000</v>
      </c>
      <c r="I102" s="90"/>
      <c r="J102" s="90"/>
      <c r="K102" s="45">
        <f t="shared" si="12"/>
        <v>71250</v>
      </c>
      <c r="L102" s="48" t="s">
        <v>205</v>
      </c>
      <c r="M102" s="26"/>
      <c r="N102" s="26"/>
    </row>
    <row r="103" spans="1:14" s="38" customFormat="1" x14ac:dyDescent="0.25">
      <c r="A103" s="39"/>
      <c r="B103" s="41" t="s">
        <v>31</v>
      </c>
      <c r="C103" s="69"/>
      <c r="D103" s="81"/>
      <c r="E103" s="81"/>
      <c r="F103" s="34"/>
      <c r="G103" s="34"/>
      <c r="H103" s="34"/>
      <c r="I103" s="34"/>
      <c r="J103" s="34"/>
      <c r="K103" s="34"/>
      <c r="L103" s="40"/>
    </row>
    <row r="104" spans="1:14" ht="31.5" x14ac:dyDescent="0.25">
      <c r="A104" s="47">
        <v>1</v>
      </c>
      <c r="B104" s="48" t="s">
        <v>24</v>
      </c>
      <c r="C104" s="89" t="s">
        <v>25</v>
      </c>
      <c r="D104" s="90">
        <v>89689</v>
      </c>
      <c r="E104" s="90">
        <f>D104</f>
        <v>89689</v>
      </c>
      <c r="F104" s="90">
        <v>0</v>
      </c>
      <c r="G104" s="90">
        <f>E104</f>
        <v>89689</v>
      </c>
      <c r="H104" s="90"/>
      <c r="I104" s="90"/>
      <c r="J104" s="90"/>
      <c r="K104" s="45">
        <f>F104+G104-H104</f>
        <v>89689</v>
      </c>
      <c r="L104" s="48" t="s">
        <v>216</v>
      </c>
    </row>
    <row r="105" spans="1:14" s="52" customFormat="1" ht="47.25" x14ac:dyDescent="0.25">
      <c r="A105" s="47">
        <v>2</v>
      </c>
      <c r="B105" s="48" t="s">
        <v>72</v>
      </c>
      <c r="C105" s="31" t="s">
        <v>180</v>
      </c>
      <c r="D105" s="51">
        <v>104896</v>
      </c>
      <c r="E105" s="45">
        <v>0</v>
      </c>
      <c r="F105" s="90">
        <v>0</v>
      </c>
      <c r="G105" s="90">
        <v>71285</v>
      </c>
      <c r="H105" s="90"/>
      <c r="I105" s="90"/>
      <c r="J105" s="90"/>
      <c r="K105" s="45">
        <f>F105+G105-H105</f>
        <v>71285</v>
      </c>
      <c r="L105" s="48" t="s">
        <v>216</v>
      </c>
      <c r="M105" s="90">
        <v>52535</v>
      </c>
      <c r="N105" s="25">
        <f>N106-M106</f>
        <v>761</v>
      </c>
    </row>
    <row r="106" spans="1:14" ht="63" x14ac:dyDescent="0.25">
      <c r="A106" s="47">
        <v>3</v>
      </c>
      <c r="B106" s="50" t="s">
        <v>191</v>
      </c>
      <c r="C106" s="89" t="s">
        <v>192</v>
      </c>
      <c r="D106" s="90">
        <v>130000</v>
      </c>
      <c r="E106" s="90">
        <f>D106</f>
        <v>130000</v>
      </c>
      <c r="F106" s="90">
        <v>130000</v>
      </c>
      <c r="G106" s="90">
        <v>12000</v>
      </c>
      <c r="H106" s="90"/>
      <c r="I106" s="90"/>
      <c r="J106" s="90"/>
      <c r="K106" s="45">
        <f>F106+G106-H106</f>
        <v>142000</v>
      </c>
      <c r="L106" s="50" t="s">
        <v>193</v>
      </c>
      <c r="M106" s="25">
        <f>M105+M107</f>
        <v>71285</v>
      </c>
      <c r="N106" s="90">
        <v>72046</v>
      </c>
    </row>
    <row r="107" spans="1:14" s="52" customFormat="1" ht="47.25" x14ac:dyDescent="0.25">
      <c r="A107" s="47">
        <v>4</v>
      </c>
      <c r="B107" s="50" t="s">
        <v>203</v>
      </c>
      <c r="C107" s="89" t="s">
        <v>204</v>
      </c>
      <c r="D107" s="90">
        <v>45000</v>
      </c>
      <c r="E107" s="90">
        <f>D107</f>
        <v>45000</v>
      </c>
      <c r="F107" s="90">
        <v>33750</v>
      </c>
      <c r="G107" s="90">
        <v>11250</v>
      </c>
      <c r="H107" s="90"/>
      <c r="I107" s="90"/>
      <c r="J107" s="90"/>
      <c r="K107" s="45">
        <f>F107+G107-H107</f>
        <v>45000</v>
      </c>
      <c r="L107" s="48" t="s">
        <v>215</v>
      </c>
      <c r="M107" s="25">
        <f>30000-G107</f>
        <v>18750</v>
      </c>
      <c r="N107" s="26"/>
    </row>
    <row r="108" spans="1:14" ht="31.5" x14ac:dyDescent="0.25">
      <c r="A108" s="47">
        <v>5</v>
      </c>
      <c r="B108" s="72" t="s">
        <v>125</v>
      </c>
      <c r="C108" s="31" t="s">
        <v>152</v>
      </c>
      <c r="D108" s="90">
        <v>80000</v>
      </c>
      <c r="E108" s="90">
        <v>49000</v>
      </c>
      <c r="F108" s="90">
        <v>0</v>
      </c>
      <c r="G108" s="90">
        <f>E108</f>
        <v>49000</v>
      </c>
      <c r="H108" s="90"/>
      <c r="I108" s="90"/>
      <c r="J108" s="90"/>
      <c r="K108" s="45">
        <f t="shared" si="12"/>
        <v>49000</v>
      </c>
      <c r="L108" s="48" t="s">
        <v>153</v>
      </c>
    </row>
    <row r="109" spans="1:14" ht="47.25" x14ac:dyDescent="0.25">
      <c r="A109" s="47">
        <v>6</v>
      </c>
      <c r="B109" s="72" t="s">
        <v>123</v>
      </c>
      <c r="C109" s="47" t="s">
        <v>155</v>
      </c>
      <c r="D109" s="90">
        <v>80000</v>
      </c>
      <c r="E109" s="90">
        <v>61000</v>
      </c>
      <c r="F109" s="90">
        <v>0</v>
      </c>
      <c r="G109" s="90">
        <f t="shared" ref="G109" si="13">E109</f>
        <v>61000</v>
      </c>
      <c r="H109" s="90"/>
      <c r="I109" s="90"/>
      <c r="J109" s="90"/>
      <c r="K109" s="45">
        <f t="shared" si="12"/>
        <v>61000</v>
      </c>
      <c r="L109" s="48" t="s">
        <v>153</v>
      </c>
    </row>
    <row r="110" spans="1:14" ht="31.5" x14ac:dyDescent="0.25">
      <c r="A110" s="47">
        <v>7</v>
      </c>
      <c r="B110" s="72" t="s">
        <v>154</v>
      </c>
      <c r="C110" s="89" t="s">
        <v>156</v>
      </c>
      <c r="D110" s="90">
        <v>175000</v>
      </c>
      <c r="E110" s="90">
        <f>G110</f>
        <v>37761</v>
      </c>
      <c r="F110" s="90">
        <v>0</v>
      </c>
      <c r="G110" s="90">
        <f>I54</f>
        <v>37761</v>
      </c>
      <c r="H110" s="90"/>
      <c r="I110" s="90"/>
      <c r="J110" s="90"/>
      <c r="K110" s="45">
        <f t="shared" si="12"/>
        <v>37761</v>
      </c>
      <c r="L110" s="48" t="s">
        <v>194</v>
      </c>
    </row>
    <row r="111" spans="1:14" s="38" customFormat="1" ht="47.25" x14ac:dyDescent="0.25">
      <c r="A111" s="39" t="s">
        <v>187</v>
      </c>
      <c r="B111" s="79" t="s">
        <v>188</v>
      </c>
      <c r="C111" s="91"/>
      <c r="D111" s="92">
        <f>SUM(D112:D120)</f>
        <v>2904296.5</v>
      </c>
      <c r="E111" s="92">
        <f t="shared" ref="E111:K111" si="14">SUM(E112:E120)</f>
        <v>1884059.5</v>
      </c>
      <c r="F111" s="92">
        <f t="shared" si="14"/>
        <v>375072</v>
      </c>
      <c r="G111" s="93">
        <f t="shared" si="14"/>
        <v>205928.30619999999</v>
      </c>
      <c r="H111" s="93">
        <f t="shared" si="14"/>
        <v>205928.30619999999</v>
      </c>
      <c r="I111" s="92"/>
      <c r="J111" s="92">
        <f t="shared" si="14"/>
        <v>277800</v>
      </c>
      <c r="K111" s="92">
        <f t="shared" si="14"/>
        <v>652872</v>
      </c>
      <c r="L111" s="79"/>
    </row>
    <row r="112" spans="1:14" s="38" customFormat="1" x14ac:dyDescent="0.25">
      <c r="A112" s="39"/>
      <c r="B112" s="41" t="s">
        <v>14</v>
      </c>
      <c r="C112" s="69"/>
      <c r="D112" s="81"/>
      <c r="E112" s="81"/>
      <c r="F112" s="34"/>
      <c r="G112" s="34"/>
      <c r="H112" s="34"/>
      <c r="I112" s="34"/>
      <c r="J112" s="34"/>
      <c r="K112" s="34"/>
      <c r="L112" s="40"/>
    </row>
    <row r="113" spans="1:14" ht="31.5" x14ac:dyDescent="0.25">
      <c r="A113" s="47">
        <v>1</v>
      </c>
      <c r="B113" s="43" t="s">
        <v>158</v>
      </c>
      <c r="C113" s="94" t="s">
        <v>159</v>
      </c>
      <c r="D113" s="29">
        <v>84478</v>
      </c>
      <c r="E113" s="29">
        <v>69918</v>
      </c>
      <c r="F113" s="29">
        <v>54106</v>
      </c>
      <c r="G113" s="90"/>
      <c r="H113" s="29">
        <v>31000</v>
      </c>
      <c r="I113" s="90"/>
      <c r="J113" s="90"/>
      <c r="K113" s="45">
        <f>F113+G113-H113</f>
        <v>23106</v>
      </c>
      <c r="L113" s="48" t="s">
        <v>162</v>
      </c>
    </row>
    <row r="114" spans="1:14" ht="31.5" x14ac:dyDescent="0.25">
      <c r="A114" s="47">
        <v>2</v>
      </c>
      <c r="B114" s="43" t="s">
        <v>160</v>
      </c>
      <c r="C114" s="31" t="s">
        <v>161</v>
      </c>
      <c r="D114" s="29">
        <v>226710</v>
      </c>
      <c r="E114" s="29">
        <v>214789</v>
      </c>
      <c r="F114" s="29">
        <v>64513</v>
      </c>
      <c r="G114" s="90"/>
      <c r="H114" s="29">
        <v>5676</v>
      </c>
      <c r="I114" s="90"/>
      <c r="J114" s="90"/>
      <c r="K114" s="45">
        <f>F114+G114-H114</f>
        <v>58837</v>
      </c>
      <c r="L114" s="48" t="s">
        <v>162</v>
      </c>
    </row>
    <row r="115" spans="1:14" ht="31.5" x14ac:dyDescent="0.25">
      <c r="A115" s="47">
        <v>3</v>
      </c>
      <c r="B115" s="43" t="s">
        <v>163</v>
      </c>
      <c r="C115" s="95" t="s">
        <v>68</v>
      </c>
      <c r="D115" s="29">
        <v>225180</v>
      </c>
      <c r="E115" s="29">
        <v>202815</v>
      </c>
      <c r="F115" s="29">
        <v>14093</v>
      </c>
      <c r="G115" s="90"/>
      <c r="H115" s="96">
        <v>14092.306200000001</v>
      </c>
      <c r="I115" s="90"/>
      <c r="J115" s="90"/>
      <c r="K115" s="97">
        <f>F115+G115-H115</f>
        <v>0.69379999999910069</v>
      </c>
      <c r="L115" s="48" t="s">
        <v>162</v>
      </c>
    </row>
    <row r="116" spans="1:14" ht="47.25" x14ac:dyDescent="0.25">
      <c r="A116" s="47">
        <v>4</v>
      </c>
      <c r="B116" s="43" t="s">
        <v>164</v>
      </c>
      <c r="C116" s="89" t="s">
        <v>148</v>
      </c>
      <c r="D116" s="90">
        <v>921698</v>
      </c>
      <c r="E116" s="29">
        <v>696298</v>
      </c>
      <c r="F116" s="29">
        <v>242360</v>
      </c>
      <c r="G116" s="90"/>
      <c r="H116" s="29">
        <v>155160</v>
      </c>
      <c r="I116" s="90"/>
      <c r="J116" s="90"/>
      <c r="K116" s="45">
        <f>F116+G116-H116</f>
        <v>87200</v>
      </c>
      <c r="L116" s="48" t="s">
        <v>149</v>
      </c>
    </row>
    <row r="117" spans="1:14" s="38" customFormat="1" x14ac:dyDescent="0.25">
      <c r="A117" s="39"/>
      <c r="B117" s="41" t="s">
        <v>214</v>
      </c>
      <c r="C117" s="69"/>
      <c r="D117" s="81"/>
      <c r="E117" s="81"/>
      <c r="F117" s="34"/>
      <c r="G117" s="34"/>
      <c r="H117" s="34"/>
      <c r="I117" s="34"/>
      <c r="J117" s="34"/>
      <c r="K117" s="34"/>
      <c r="L117" s="40"/>
    </row>
    <row r="118" spans="1:14" ht="47.25" x14ac:dyDescent="0.25">
      <c r="A118" s="47">
        <v>1</v>
      </c>
      <c r="B118" s="43" t="s">
        <v>165</v>
      </c>
      <c r="C118" s="98" t="s">
        <v>33</v>
      </c>
      <c r="D118" s="29">
        <v>1152920</v>
      </c>
      <c r="E118" s="29">
        <v>684729</v>
      </c>
      <c r="F118" s="29">
        <v>0</v>
      </c>
      <c r="G118" s="96">
        <v>205928.30619999999</v>
      </c>
      <c r="H118" s="90"/>
      <c r="I118" s="90"/>
      <c r="J118" s="90"/>
      <c r="K118" s="97">
        <f>F118+G118-H118</f>
        <v>205928.30619999999</v>
      </c>
      <c r="L118" s="48" t="s">
        <v>166</v>
      </c>
    </row>
    <row r="119" spans="1:14" s="62" customFormat="1" ht="31.5" x14ac:dyDescent="0.25">
      <c r="A119" s="69"/>
      <c r="B119" s="99" t="s">
        <v>213</v>
      </c>
      <c r="C119" s="100"/>
      <c r="D119" s="101"/>
      <c r="E119" s="101"/>
      <c r="F119" s="102"/>
      <c r="G119" s="103"/>
      <c r="H119" s="102"/>
      <c r="I119" s="102"/>
      <c r="J119" s="102"/>
      <c r="K119" s="104"/>
      <c r="L119" s="105"/>
    </row>
    <row r="120" spans="1:14" s="52" customFormat="1" ht="48" customHeight="1" x14ac:dyDescent="0.25">
      <c r="A120" s="47">
        <v>2</v>
      </c>
      <c r="B120" s="43" t="s">
        <v>200</v>
      </c>
      <c r="C120" s="30" t="s">
        <v>35</v>
      </c>
      <c r="D120" s="29">
        <v>293310.5</v>
      </c>
      <c r="E120" s="29">
        <v>15510.5</v>
      </c>
      <c r="F120" s="29">
        <v>0</v>
      </c>
      <c r="G120" s="29"/>
      <c r="H120" s="29"/>
      <c r="I120" s="29"/>
      <c r="J120" s="29">
        <v>277800</v>
      </c>
      <c r="K120" s="45">
        <f>F120+J120</f>
        <v>277800</v>
      </c>
      <c r="L120" s="48" t="s">
        <v>166</v>
      </c>
      <c r="M120" s="26"/>
      <c r="N120" s="26"/>
    </row>
  </sheetData>
  <mergeCells count="14">
    <mergeCell ref="A1:L1"/>
    <mergeCell ref="A2:L2"/>
    <mergeCell ref="F3:L3"/>
    <mergeCell ref="A4:A6"/>
    <mergeCell ref="B4:B6"/>
    <mergeCell ref="C4:E4"/>
    <mergeCell ref="F4:F6"/>
    <mergeCell ref="G4:H5"/>
    <mergeCell ref="K4:K6"/>
    <mergeCell ref="L4:L6"/>
    <mergeCell ref="C5:C6"/>
    <mergeCell ref="D5:E5"/>
    <mergeCell ref="I4:I6"/>
    <mergeCell ref="J4:J6"/>
  </mergeCells>
  <pageMargins left="0.7" right="0.45" top="0.75" bottom="0.5" header="0.3" footer="0.3"/>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4"/>
  <sheetViews>
    <sheetView zoomScale="70" zoomScaleNormal="70" workbookViewId="0">
      <selection activeCell="F6" sqref="F6:F8"/>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3.625" style="26" customWidth="1"/>
    <col min="7" max="8" width="10.625" style="26" customWidth="1"/>
    <col min="9" max="9" width="13.625" style="26" customWidth="1"/>
    <col min="10" max="10" width="40.875" style="106" customWidth="1"/>
    <col min="11" max="11" width="21.625" style="108" hidden="1" customWidth="1"/>
    <col min="12" max="12" width="14.75" style="26" bestFit="1" customWidth="1"/>
    <col min="13" max="16384" width="9" style="26"/>
  </cols>
  <sheetData>
    <row r="1" spans="1:12" x14ac:dyDescent="0.25">
      <c r="A1" s="160" t="s">
        <v>257</v>
      </c>
      <c r="B1" s="160"/>
      <c r="C1" s="160"/>
      <c r="D1" s="160"/>
      <c r="E1" s="160"/>
      <c r="F1" s="160"/>
      <c r="G1" s="160"/>
      <c r="H1" s="160"/>
      <c r="I1" s="160"/>
      <c r="J1" s="160"/>
    </row>
    <row r="2" spans="1:12" x14ac:dyDescent="0.25">
      <c r="A2" s="151" t="s">
        <v>258</v>
      </c>
      <c r="B2" s="151"/>
      <c r="C2" s="151"/>
      <c r="D2" s="151"/>
      <c r="E2" s="151"/>
      <c r="F2" s="151"/>
      <c r="G2" s="151"/>
      <c r="H2" s="151"/>
      <c r="I2" s="151"/>
      <c r="J2" s="151"/>
      <c r="K2" s="107"/>
    </row>
    <row r="3" spans="1:12" x14ac:dyDescent="0.25">
      <c r="A3" s="151" t="s">
        <v>259</v>
      </c>
      <c r="B3" s="151"/>
      <c r="C3" s="151"/>
      <c r="D3" s="151"/>
      <c r="E3" s="151"/>
      <c r="F3" s="151"/>
      <c r="G3" s="151"/>
      <c r="H3" s="151"/>
      <c r="I3" s="151"/>
      <c r="J3" s="151"/>
      <c r="K3" s="107"/>
    </row>
    <row r="4" spans="1:12" x14ac:dyDescent="0.25">
      <c r="A4" s="152" t="s">
        <v>320</v>
      </c>
      <c r="B4" s="152"/>
      <c r="C4" s="152"/>
      <c r="D4" s="152"/>
      <c r="E4" s="152"/>
      <c r="F4" s="152"/>
      <c r="G4" s="152"/>
      <c r="H4" s="152"/>
      <c r="I4" s="152"/>
      <c r="J4" s="152"/>
    </row>
    <row r="5" spans="1:12" x14ac:dyDescent="0.25">
      <c r="F5" s="153" t="s">
        <v>321</v>
      </c>
      <c r="G5" s="153"/>
      <c r="H5" s="153"/>
      <c r="I5" s="153"/>
      <c r="J5" s="153"/>
    </row>
    <row r="6" spans="1:12" ht="15.6" customHeight="1" x14ac:dyDescent="0.25">
      <c r="A6" s="165" t="s">
        <v>2</v>
      </c>
      <c r="B6" s="166" t="s">
        <v>3</v>
      </c>
      <c r="C6" s="166" t="s">
        <v>4</v>
      </c>
      <c r="D6" s="166"/>
      <c r="E6" s="166"/>
      <c r="F6" s="166" t="s">
        <v>269</v>
      </c>
      <c r="G6" s="166" t="s">
        <v>261</v>
      </c>
      <c r="H6" s="166"/>
      <c r="I6" s="167" t="s">
        <v>6</v>
      </c>
      <c r="J6" s="166" t="s">
        <v>7</v>
      </c>
      <c r="K6" s="109"/>
    </row>
    <row r="7" spans="1:12" x14ac:dyDescent="0.25">
      <c r="A7" s="165"/>
      <c r="B7" s="166"/>
      <c r="C7" s="166" t="s">
        <v>8</v>
      </c>
      <c r="D7" s="166" t="s">
        <v>9</v>
      </c>
      <c r="E7" s="166"/>
      <c r="F7" s="166"/>
      <c r="G7" s="166"/>
      <c r="H7" s="166"/>
      <c r="I7" s="167"/>
      <c r="J7" s="166"/>
      <c r="K7" s="110"/>
    </row>
    <row r="8" spans="1:12" ht="47.25" customHeight="1" x14ac:dyDescent="0.25">
      <c r="A8" s="165"/>
      <c r="B8" s="166"/>
      <c r="C8" s="166"/>
      <c r="D8" s="33" t="s">
        <v>10</v>
      </c>
      <c r="E8" s="33" t="s">
        <v>260</v>
      </c>
      <c r="F8" s="166"/>
      <c r="G8" s="118" t="s">
        <v>309</v>
      </c>
      <c r="H8" s="118" t="s">
        <v>310</v>
      </c>
      <c r="I8" s="167"/>
      <c r="J8" s="166"/>
      <c r="K8" s="111"/>
    </row>
    <row r="9" spans="1:12" s="38" customFormat="1" x14ac:dyDescent="0.25">
      <c r="A9" s="32"/>
      <c r="B9" s="33" t="s">
        <v>13</v>
      </c>
      <c r="C9" s="33"/>
      <c r="D9" s="33"/>
      <c r="E9" s="33"/>
      <c r="F9" s="34">
        <f>SUM(F10:F34)</f>
        <v>636727</v>
      </c>
      <c r="G9" s="34">
        <f t="shared" ref="G9:I9" si="0">SUM(G10:G34)</f>
        <v>305824</v>
      </c>
      <c r="H9" s="34">
        <f t="shared" si="0"/>
        <v>305824.15899999999</v>
      </c>
      <c r="I9" s="34">
        <f t="shared" si="0"/>
        <v>636726.84100000001</v>
      </c>
      <c r="J9" s="33"/>
      <c r="K9" s="112"/>
      <c r="L9" s="37">
        <f>G9-K9</f>
        <v>305824</v>
      </c>
    </row>
    <row r="10" spans="1:12" s="38" customFormat="1" x14ac:dyDescent="0.25">
      <c r="A10" s="39" t="s">
        <v>129</v>
      </c>
      <c r="B10" s="41" t="s">
        <v>14</v>
      </c>
      <c r="C10" s="41"/>
      <c r="D10" s="41"/>
      <c r="E10" s="41"/>
      <c r="F10" s="34"/>
      <c r="G10" s="34"/>
      <c r="H10" s="34"/>
      <c r="I10" s="34"/>
      <c r="J10" s="40"/>
      <c r="K10" s="113"/>
      <c r="L10" s="37" t="e">
        <f>#REF!-10690</f>
        <v>#REF!</v>
      </c>
    </row>
    <row r="11" spans="1:12" ht="31.5" x14ac:dyDescent="0.25">
      <c r="A11" s="42">
        <v>1</v>
      </c>
      <c r="B11" s="43" t="s">
        <v>15</v>
      </c>
      <c r="C11" s="31" t="s">
        <v>68</v>
      </c>
      <c r="D11" s="44">
        <v>225180</v>
      </c>
      <c r="E11" s="44">
        <v>22365</v>
      </c>
      <c r="F11" s="44">
        <v>4823</v>
      </c>
      <c r="G11" s="44"/>
      <c r="H11" s="44">
        <v>3596</v>
      </c>
      <c r="I11" s="45">
        <f t="shared" ref="I11:I23" si="1">F11+G11-H11</f>
        <v>1227</v>
      </c>
      <c r="J11" s="46" t="s">
        <v>16</v>
      </c>
      <c r="K11" s="114" t="s">
        <v>240</v>
      </c>
    </row>
    <row r="12" spans="1:12" ht="31.5" x14ac:dyDescent="0.25">
      <c r="A12" s="42">
        <v>2</v>
      </c>
      <c r="B12" s="43" t="s">
        <v>17</v>
      </c>
      <c r="C12" s="47" t="s">
        <v>18</v>
      </c>
      <c r="D12" s="44">
        <v>248443</v>
      </c>
      <c r="E12" s="44">
        <v>72982</v>
      </c>
      <c r="F12" s="44">
        <v>64684</v>
      </c>
      <c r="G12" s="44"/>
      <c r="H12" s="44">
        <v>14524</v>
      </c>
      <c r="I12" s="45">
        <f t="shared" si="1"/>
        <v>50160</v>
      </c>
      <c r="J12" s="46" t="s">
        <v>19</v>
      </c>
      <c r="K12" s="114" t="s">
        <v>240</v>
      </c>
    </row>
    <row r="13" spans="1:12" ht="31.5" x14ac:dyDescent="0.25">
      <c r="A13" s="42">
        <v>3</v>
      </c>
      <c r="B13" s="48" t="s">
        <v>20</v>
      </c>
      <c r="C13" s="47" t="s">
        <v>69</v>
      </c>
      <c r="D13" s="44">
        <v>14008</v>
      </c>
      <c r="E13" s="44">
        <v>10861</v>
      </c>
      <c r="F13" s="44">
        <v>1000</v>
      </c>
      <c r="G13" s="44"/>
      <c r="H13" s="44">
        <v>1000</v>
      </c>
      <c r="I13" s="45">
        <f t="shared" si="1"/>
        <v>0</v>
      </c>
      <c r="J13" s="46" t="s">
        <v>21</v>
      </c>
      <c r="K13" s="114" t="s">
        <v>240</v>
      </c>
    </row>
    <row r="14" spans="1:12" ht="31.5" x14ac:dyDescent="0.25">
      <c r="A14" s="42">
        <v>4</v>
      </c>
      <c r="B14" s="43" t="s">
        <v>22</v>
      </c>
      <c r="C14" s="47" t="s">
        <v>70</v>
      </c>
      <c r="D14" s="44">
        <v>219110</v>
      </c>
      <c r="E14" s="44">
        <v>16110</v>
      </c>
      <c r="F14" s="44">
        <v>3960</v>
      </c>
      <c r="G14" s="44"/>
      <c r="H14" s="44">
        <v>971</v>
      </c>
      <c r="I14" s="45">
        <f t="shared" si="1"/>
        <v>2989</v>
      </c>
      <c r="J14" s="46" t="s">
        <v>23</v>
      </c>
      <c r="K14" s="114" t="s">
        <v>240</v>
      </c>
    </row>
    <row r="15" spans="1:12" ht="31.5" x14ac:dyDescent="0.25">
      <c r="A15" s="42">
        <v>5</v>
      </c>
      <c r="B15" s="129" t="s">
        <v>282</v>
      </c>
      <c r="C15" s="123" t="s">
        <v>283</v>
      </c>
      <c r="D15" s="122">
        <v>10407</v>
      </c>
      <c r="E15" s="122">
        <f>D15</f>
        <v>10407</v>
      </c>
      <c r="F15" s="124">
        <v>1305</v>
      </c>
      <c r="G15" s="125"/>
      <c r="H15" s="126">
        <v>52.313000000000002</v>
      </c>
      <c r="I15" s="127">
        <f>F15+G15-H15</f>
        <v>1252.6869999999999</v>
      </c>
      <c r="J15" s="128" t="s">
        <v>280</v>
      </c>
      <c r="K15" s="114"/>
    </row>
    <row r="16" spans="1:12" ht="31.5" x14ac:dyDescent="0.25">
      <c r="A16" s="42">
        <v>6</v>
      </c>
      <c r="B16" s="43" t="s">
        <v>272</v>
      </c>
      <c r="C16" s="47" t="s">
        <v>276</v>
      </c>
      <c r="D16" s="44">
        <v>7000</v>
      </c>
      <c r="E16" s="44">
        <v>7000</v>
      </c>
      <c r="F16" s="44">
        <v>1000</v>
      </c>
      <c r="G16" s="44"/>
      <c r="H16" s="44">
        <v>213.27799999999999</v>
      </c>
      <c r="I16" s="45">
        <f t="shared" si="1"/>
        <v>786.72199999999998</v>
      </c>
      <c r="J16" s="46" t="s">
        <v>280</v>
      </c>
      <c r="K16" s="114"/>
    </row>
    <row r="17" spans="1:13" ht="31.5" x14ac:dyDescent="0.25">
      <c r="A17" s="42">
        <v>7</v>
      </c>
      <c r="B17" s="43" t="s">
        <v>273</v>
      </c>
      <c r="C17" s="47" t="s">
        <v>277</v>
      </c>
      <c r="D17" s="44">
        <v>6500</v>
      </c>
      <c r="E17" s="44">
        <v>6500</v>
      </c>
      <c r="F17" s="44">
        <v>835</v>
      </c>
      <c r="G17" s="44"/>
      <c r="H17" s="44">
        <v>180.56800000000001</v>
      </c>
      <c r="I17" s="45">
        <f t="shared" si="1"/>
        <v>654.43200000000002</v>
      </c>
      <c r="J17" s="46" t="s">
        <v>280</v>
      </c>
      <c r="K17" s="114"/>
    </row>
    <row r="18" spans="1:13" ht="31.5" x14ac:dyDescent="0.25">
      <c r="A18" s="42">
        <v>8</v>
      </c>
      <c r="B18" s="43" t="s">
        <v>274</v>
      </c>
      <c r="C18" s="47" t="s">
        <v>278</v>
      </c>
      <c r="D18" s="44">
        <f>E18</f>
        <v>14900</v>
      </c>
      <c r="E18" s="44">
        <v>14900</v>
      </c>
      <c r="F18" s="44">
        <v>14900</v>
      </c>
      <c r="G18" s="44"/>
      <c r="H18" s="44">
        <v>533</v>
      </c>
      <c r="I18" s="45">
        <f t="shared" si="1"/>
        <v>14367</v>
      </c>
      <c r="J18" s="46" t="s">
        <v>281</v>
      </c>
      <c r="K18" s="114"/>
    </row>
    <row r="19" spans="1:13" ht="31.5" x14ac:dyDescent="0.25">
      <c r="A19" s="42">
        <v>9</v>
      </c>
      <c r="B19" s="43" t="s">
        <v>275</v>
      </c>
      <c r="C19" s="47" t="s">
        <v>279</v>
      </c>
      <c r="D19" s="44">
        <f>E19</f>
        <v>14900</v>
      </c>
      <c r="E19" s="44">
        <v>14900</v>
      </c>
      <c r="F19" s="44">
        <v>14900</v>
      </c>
      <c r="G19" s="44"/>
      <c r="H19" s="44">
        <v>1220</v>
      </c>
      <c r="I19" s="45">
        <f t="shared" si="1"/>
        <v>13680</v>
      </c>
      <c r="J19" s="46" t="s">
        <v>280</v>
      </c>
      <c r="K19" s="114"/>
    </row>
    <row r="20" spans="1:13" ht="47.25" x14ac:dyDescent="0.25">
      <c r="A20" s="42">
        <v>10</v>
      </c>
      <c r="B20" s="49" t="s">
        <v>24</v>
      </c>
      <c r="C20" s="47" t="s">
        <v>25</v>
      </c>
      <c r="D20" s="44">
        <f>40649+49040</f>
        <v>89689</v>
      </c>
      <c r="E20" s="45">
        <f>I20</f>
        <v>49040</v>
      </c>
      <c r="F20" s="44">
        <v>89689</v>
      </c>
      <c r="G20" s="44"/>
      <c r="H20" s="44">
        <v>40649</v>
      </c>
      <c r="I20" s="45">
        <f t="shared" si="1"/>
        <v>49040</v>
      </c>
      <c r="J20" s="50" t="s">
        <v>235</v>
      </c>
      <c r="K20" s="114" t="s">
        <v>240</v>
      </c>
    </row>
    <row r="21" spans="1:13" ht="175.5" customHeight="1" x14ac:dyDescent="0.25">
      <c r="A21" s="42">
        <v>11</v>
      </c>
      <c r="B21" s="48" t="s">
        <v>26</v>
      </c>
      <c r="C21" s="49"/>
      <c r="D21" s="44"/>
      <c r="E21" s="44"/>
      <c r="F21" s="44">
        <v>74970</v>
      </c>
      <c r="G21" s="44"/>
      <c r="H21" s="44">
        <f>F21</f>
        <v>74970</v>
      </c>
      <c r="I21" s="45">
        <f t="shared" si="1"/>
        <v>0</v>
      </c>
      <c r="J21" s="53" t="s">
        <v>239</v>
      </c>
      <c r="K21" s="114" t="s">
        <v>241</v>
      </c>
    </row>
    <row r="22" spans="1:13" ht="47.25" x14ac:dyDescent="0.25">
      <c r="A22" s="42">
        <v>12</v>
      </c>
      <c r="B22" s="48" t="s">
        <v>27</v>
      </c>
      <c r="C22" s="49"/>
      <c r="D22" s="44"/>
      <c r="E22" s="44"/>
      <c r="F22" s="44">
        <v>150000</v>
      </c>
      <c r="G22" s="44"/>
      <c r="H22" s="44">
        <f>107720-20091+46170</f>
        <v>133799</v>
      </c>
      <c r="I22" s="45">
        <f t="shared" si="1"/>
        <v>16201</v>
      </c>
      <c r="J22" s="53" t="s">
        <v>28</v>
      </c>
      <c r="K22" s="111" t="s">
        <v>238</v>
      </c>
    </row>
    <row r="23" spans="1:13" s="52" customFormat="1" ht="47.25" x14ac:dyDescent="0.25">
      <c r="A23" s="42">
        <v>13</v>
      </c>
      <c r="B23" s="48" t="s">
        <v>29</v>
      </c>
      <c r="C23" s="49"/>
      <c r="D23" s="44"/>
      <c r="E23" s="44"/>
      <c r="F23" s="44">
        <v>118766</v>
      </c>
      <c r="G23" s="44"/>
      <c r="H23" s="44">
        <f>52596-18480</f>
        <v>34116</v>
      </c>
      <c r="I23" s="45">
        <f t="shared" si="1"/>
        <v>84650</v>
      </c>
      <c r="J23" s="53" t="s">
        <v>30</v>
      </c>
      <c r="K23" s="114" t="s">
        <v>242</v>
      </c>
      <c r="L23" s="25">
        <f>I23+I22</f>
        <v>100851</v>
      </c>
      <c r="M23" s="149">
        <f>I23-18480</f>
        <v>66170</v>
      </c>
    </row>
    <row r="24" spans="1:13" s="38" customFormat="1" x14ac:dyDescent="0.25">
      <c r="A24" s="39"/>
      <c r="B24" s="41" t="s">
        <v>31</v>
      </c>
      <c r="C24" s="41"/>
      <c r="D24" s="44"/>
      <c r="E24" s="44"/>
      <c r="F24" s="34"/>
      <c r="G24" s="34"/>
      <c r="H24" s="34"/>
      <c r="I24" s="34"/>
      <c r="J24" s="40"/>
      <c r="K24" s="113"/>
    </row>
    <row r="25" spans="1:13" ht="63" x14ac:dyDescent="0.25">
      <c r="A25" s="42">
        <v>1</v>
      </c>
      <c r="B25" s="43" t="s">
        <v>32</v>
      </c>
      <c r="C25" s="47" t="s">
        <v>33</v>
      </c>
      <c r="D25" s="44">
        <v>1152920</v>
      </c>
      <c r="E25" s="44">
        <v>134560</v>
      </c>
      <c r="F25" s="44">
        <v>0</v>
      </c>
      <c r="G25" s="44">
        <v>22210</v>
      </c>
      <c r="H25" s="44"/>
      <c r="I25" s="45">
        <f>F25+G25-H25</f>
        <v>22210</v>
      </c>
      <c r="J25" s="54" t="s">
        <v>225</v>
      </c>
      <c r="K25" s="114" t="s">
        <v>240</v>
      </c>
    </row>
    <row r="26" spans="1:13" ht="47.25" x14ac:dyDescent="0.25">
      <c r="A26" s="42">
        <v>2</v>
      </c>
      <c r="B26" s="43" t="s">
        <v>34</v>
      </c>
      <c r="C26" s="47" t="s">
        <v>35</v>
      </c>
      <c r="D26" s="44">
        <v>293310.5</v>
      </c>
      <c r="E26" s="44">
        <v>15510</v>
      </c>
      <c r="F26" s="44">
        <v>0</v>
      </c>
      <c r="G26" s="44">
        <v>15510</v>
      </c>
      <c r="H26" s="44"/>
      <c r="I26" s="45">
        <f>F26+G26-H26</f>
        <v>15510</v>
      </c>
      <c r="J26" s="48" t="s">
        <v>166</v>
      </c>
      <c r="K26" s="114" t="s">
        <v>240</v>
      </c>
    </row>
    <row r="27" spans="1:13" s="52" customFormat="1" ht="47.25" x14ac:dyDescent="0.25">
      <c r="A27" s="42">
        <v>3</v>
      </c>
      <c r="B27" s="43" t="s">
        <v>209</v>
      </c>
      <c r="C27" s="47" t="s">
        <v>217</v>
      </c>
      <c r="D27" s="55">
        <f>998151+96170</f>
        <v>1094321</v>
      </c>
      <c r="E27" s="55">
        <f>255679+96170</f>
        <v>351849</v>
      </c>
      <c r="F27" s="56">
        <v>71895</v>
      </c>
      <c r="G27" s="44">
        <f>96170-50000</f>
        <v>46170</v>
      </c>
      <c r="H27" s="44"/>
      <c r="I27" s="45">
        <f>F27+G27</f>
        <v>118065</v>
      </c>
      <c r="J27" s="49" t="s">
        <v>218</v>
      </c>
      <c r="K27" s="114" t="s">
        <v>243</v>
      </c>
      <c r="L27" s="26"/>
    </row>
    <row r="28" spans="1:13" ht="31.5" x14ac:dyDescent="0.25">
      <c r="A28" s="42">
        <v>4</v>
      </c>
      <c r="B28" s="49" t="s">
        <v>36</v>
      </c>
      <c r="C28" s="47" t="s">
        <v>224</v>
      </c>
      <c r="D28" s="44">
        <v>9000</v>
      </c>
      <c r="E28" s="44">
        <v>4500</v>
      </c>
      <c r="F28" s="44">
        <v>0</v>
      </c>
      <c r="G28" s="44">
        <v>4500</v>
      </c>
      <c r="H28" s="44"/>
      <c r="I28" s="45">
        <f t="shared" ref="I28:I33" si="2">F28+G28-H28</f>
        <v>4500</v>
      </c>
      <c r="J28" s="50" t="s">
        <v>166</v>
      </c>
      <c r="K28" s="114" t="s">
        <v>240</v>
      </c>
    </row>
    <row r="29" spans="1:13" ht="63" x14ac:dyDescent="0.25">
      <c r="A29" s="42">
        <v>5</v>
      </c>
      <c r="B29" s="49" t="s">
        <v>229</v>
      </c>
      <c r="C29" s="47" t="s">
        <v>232</v>
      </c>
      <c r="D29" s="44">
        <v>588796</v>
      </c>
      <c r="E29" s="44">
        <f>D29-506089</f>
        <v>82707</v>
      </c>
      <c r="F29" s="44">
        <v>0</v>
      </c>
      <c r="G29" s="44">
        <v>10690</v>
      </c>
      <c r="H29" s="44"/>
      <c r="I29" s="45">
        <f t="shared" si="2"/>
        <v>10690</v>
      </c>
      <c r="J29" s="57" t="s">
        <v>230</v>
      </c>
      <c r="K29" s="114"/>
    </row>
    <row r="30" spans="1:13" ht="94.5" x14ac:dyDescent="0.25">
      <c r="A30" s="42">
        <v>6</v>
      </c>
      <c r="B30" s="130" t="s">
        <v>284</v>
      </c>
      <c r="C30" s="123" t="s">
        <v>285</v>
      </c>
      <c r="D30" s="131">
        <f>I30</f>
        <v>6199</v>
      </c>
      <c r="E30" s="131">
        <f>D30</f>
        <v>6199</v>
      </c>
      <c r="F30" s="127">
        <v>4000</v>
      </c>
      <c r="G30" s="127">
        <v>2199</v>
      </c>
      <c r="H30" s="132"/>
      <c r="I30" s="127">
        <f>F30+G30-H30</f>
        <v>6199</v>
      </c>
      <c r="J30" s="128" t="s">
        <v>308</v>
      </c>
      <c r="K30" s="114" t="s">
        <v>240</v>
      </c>
    </row>
    <row r="31" spans="1:13" ht="47.25" x14ac:dyDescent="0.25">
      <c r="A31" s="42">
        <v>7</v>
      </c>
      <c r="B31" s="49" t="s">
        <v>73</v>
      </c>
      <c r="C31" s="49"/>
      <c r="D31" s="44"/>
      <c r="E31" s="44"/>
      <c r="F31" s="44">
        <v>0</v>
      </c>
      <c r="G31" s="44">
        <v>5784</v>
      </c>
      <c r="H31" s="44"/>
      <c r="I31" s="45">
        <f t="shared" si="2"/>
        <v>5784</v>
      </c>
      <c r="J31" s="50" t="s">
        <v>74</v>
      </c>
      <c r="K31" s="111"/>
    </row>
    <row r="32" spans="1:13" ht="63" x14ac:dyDescent="0.25">
      <c r="A32" s="42">
        <v>8</v>
      </c>
      <c r="B32" s="48" t="s">
        <v>75</v>
      </c>
      <c r="C32" s="49"/>
      <c r="D32" s="44"/>
      <c r="E32" s="44"/>
      <c r="F32" s="44">
        <v>0</v>
      </c>
      <c r="G32" s="44">
        <v>36000</v>
      </c>
      <c r="H32" s="44"/>
      <c r="I32" s="45">
        <f t="shared" si="2"/>
        <v>36000</v>
      </c>
      <c r="J32" s="48" t="s">
        <v>226</v>
      </c>
      <c r="K32" s="111"/>
    </row>
    <row r="33" spans="1:13" ht="47.25" x14ac:dyDescent="0.25">
      <c r="A33" s="42">
        <v>9</v>
      </c>
      <c r="B33" s="48" t="s">
        <v>125</v>
      </c>
      <c r="C33" s="31" t="s">
        <v>152</v>
      </c>
      <c r="D33" s="73">
        <v>60000</v>
      </c>
      <c r="E33" s="73">
        <f>D33</f>
        <v>60000</v>
      </c>
      <c r="F33" s="2">
        <v>0</v>
      </c>
      <c r="G33" s="75">
        <v>32761</v>
      </c>
      <c r="H33" s="2"/>
      <c r="I33" s="45">
        <f t="shared" si="2"/>
        <v>32761</v>
      </c>
      <c r="J33" s="48" t="s">
        <v>236</v>
      </c>
      <c r="K33" s="111" t="s">
        <v>237</v>
      </c>
      <c r="L33" s="26">
        <f>17396+6000</f>
        <v>23396</v>
      </c>
      <c r="M33" s="26">
        <f>60000-L33</f>
        <v>36604</v>
      </c>
    </row>
    <row r="34" spans="1:13" ht="126" x14ac:dyDescent="0.25">
      <c r="A34" s="42">
        <v>10</v>
      </c>
      <c r="B34" s="49" t="s">
        <v>39</v>
      </c>
      <c r="C34" s="49"/>
      <c r="D34" s="44"/>
      <c r="E34" s="44"/>
      <c r="F34" s="44">
        <f>SUM(F35:F48)</f>
        <v>20000</v>
      </c>
      <c r="G34" s="44">
        <f t="shared" ref="G34:I34" si="3">SUM(G35:G48)</f>
        <v>130000</v>
      </c>
      <c r="H34" s="44">
        <f t="shared" si="3"/>
        <v>0</v>
      </c>
      <c r="I34" s="44">
        <f t="shared" si="3"/>
        <v>150000</v>
      </c>
      <c r="J34" s="50" t="s">
        <v>196</v>
      </c>
      <c r="K34" s="114" t="s">
        <v>240</v>
      </c>
    </row>
    <row r="35" spans="1:13" s="62" customFormat="1" x14ac:dyDescent="0.25">
      <c r="A35" s="58"/>
      <c r="B35" s="41" t="s">
        <v>40</v>
      </c>
      <c r="C35" s="41"/>
      <c r="D35" s="44"/>
      <c r="E35" s="44"/>
      <c r="F35" s="59"/>
      <c r="G35" s="59"/>
      <c r="H35" s="59"/>
      <c r="I35" s="60"/>
      <c r="J35" s="61"/>
      <c r="K35" s="115"/>
    </row>
    <row r="36" spans="1:13" ht="47.25" x14ac:dyDescent="0.25">
      <c r="A36" s="42" t="s">
        <v>41</v>
      </c>
      <c r="B36" s="49" t="s">
        <v>42</v>
      </c>
      <c r="C36" s="63" t="s">
        <v>43</v>
      </c>
      <c r="D36" s="44">
        <v>20000</v>
      </c>
      <c r="E36" s="44">
        <v>12000</v>
      </c>
      <c r="F36" s="44">
        <v>0</v>
      </c>
      <c r="G36" s="44">
        <v>12000</v>
      </c>
      <c r="H36" s="44"/>
      <c r="I36" s="45">
        <f t="shared" ref="I36:I48" si="4">F36+G36-H36</f>
        <v>12000</v>
      </c>
      <c r="J36" s="157" t="s">
        <v>313</v>
      </c>
      <c r="K36" s="111"/>
    </row>
    <row r="37" spans="1:13" ht="47.25" x14ac:dyDescent="0.25">
      <c r="A37" s="42" t="s">
        <v>41</v>
      </c>
      <c r="B37" s="49" t="s">
        <v>44</v>
      </c>
      <c r="C37" s="63" t="s">
        <v>45</v>
      </c>
      <c r="D37" s="44">
        <v>28000</v>
      </c>
      <c r="E37" s="44">
        <v>25000</v>
      </c>
      <c r="F37" s="44">
        <v>0</v>
      </c>
      <c r="G37" s="44">
        <v>25000</v>
      </c>
      <c r="H37" s="44"/>
      <c r="I37" s="45">
        <f t="shared" si="4"/>
        <v>25000</v>
      </c>
      <c r="J37" s="158"/>
      <c r="K37" s="111"/>
    </row>
    <row r="38" spans="1:13" ht="78.75" x14ac:dyDescent="0.25">
      <c r="A38" s="42" t="s">
        <v>41</v>
      </c>
      <c r="B38" s="49" t="s">
        <v>46</v>
      </c>
      <c r="C38" s="63" t="s">
        <v>47</v>
      </c>
      <c r="D38" s="44">
        <v>44460</v>
      </c>
      <c r="E38" s="44">
        <v>30000</v>
      </c>
      <c r="F38" s="44">
        <v>20000</v>
      </c>
      <c r="G38" s="44">
        <v>10000</v>
      </c>
      <c r="H38" s="44"/>
      <c r="I38" s="45">
        <f t="shared" si="4"/>
        <v>30000</v>
      </c>
      <c r="J38" s="158"/>
      <c r="K38" s="111"/>
    </row>
    <row r="39" spans="1:13" ht="47.25" x14ac:dyDescent="0.25">
      <c r="A39" s="42" t="s">
        <v>41</v>
      </c>
      <c r="B39" s="49" t="s">
        <v>48</v>
      </c>
      <c r="C39" s="47" t="s">
        <v>49</v>
      </c>
      <c r="D39" s="44">
        <v>32945</v>
      </c>
      <c r="E39" s="44">
        <v>10000</v>
      </c>
      <c r="F39" s="44">
        <v>0</v>
      </c>
      <c r="G39" s="44">
        <v>10000</v>
      </c>
      <c r="H39" s="44"/>
      <c r="I39" s="45">
        <f t="shared" si="4"/>
        <v>10000</v>
      </c>
      <c r="J39" s="158"/>
      <c r="K39" s="111"/>
    </row>
    <row r="40" spans="1:13" ht="47.25" x14ac:dyDescent="0.25">
      <c r="A40" s="42" t="s">
        <v>41</v>
      </c>
      <c r="B40" s="49" t="s">
        <v>50</v>
      </c>
      <c r="C40" s="47" t="s">
        <v>51</v>
      </c>
      <c r="D40" s="44">
        <v>25000</v>
      </c>
      <c r="E40" s="44">
        <v>10000</v>
      </c>
      <c r="F40" s="44">
        <v>0</v>
      </c>
      <c r="G40" s="44">
        <v>10000</v>
      </c>
      <c r="H40" s="44"/>
      <c r="I40" s="45">
        <f t="shared" si="4"/>
        <v>10000</v>
      </c>
      <c r="J40" s="158"/>
      <c r="K40" s="111"/>
    </row>
    <row r="41" spans="1:13" ht="47.25" x14ac:dyDescent="0.25">
      <c r="A41" s="42" t="s">
        <v>41</v>
      </c>
      <c r="B41" s="49" t="s">
        <v>52</v>
      </c>
      <c r="C41" s="47" t="s">
        <v>53</v>
      </c>
      <c r="D41" s="44">
        <f>510500+7500</f>
        <v>518000</v>
      </c>
      <c r="E41" s="44">
        <v>7500</v>
      </c>
      <c r="F41" s="44">
        <v>0</v>
      </c>
      <c r="G41" s="44">
        <v>7500</v>
      </c>
      <c r="H41" s="44"/>
      <c r="I41" s="45">
        <f t="shared" si="4"/>
        <v>7500</v>
      </c>
      <c r="J41" s="158"/>
      <c r="K41" s="111"/>
    </row>
    <row r="42" spans="1:13" ht="47.25" x14ac:dyDescent="0.25">
      <c r="A42" s="42" t="s">
        <v>41</v>
      </c>
      <c r="B42" s="48" t="s">
        <v>54</v>
      </c>
      <c r="C42" s="47" t="s">
        <v>55</v>
      </c>
      <c r="D42" s="44">
        <f>26195+2500</f>
        <v>28695</v>
      </c>
      <c r="E42" s="44">
        <v>2500</v>
      </c>
      <c r="F42" s="44">
        <v>0</v>
      </c>
      <c r="G42" s="44">
        <v>2500</v>
      </c>
      <c r="H42" s="44"/>
      <c r="I42" s="45">
        <f t="shared" si="4"/>
        <v>2500</v>
      </c>
      <c r="J42" s="158"/>
      <c r="K42" s="111"/>
    </row>
    <row r="43" spans="1:13" ht="47.25" x14ac:dyDescent="0.25">
      <c r="A43" s="42" t="s">
        <v>41</v>
      </c>
      <c r="B43" s="49" t="s">
        <v>56</v>
      </c>
      <c r="C43" s="47" t="s">
        <v>57</v>
      </c>
      <c r="D43" s="44">
        <v>7200</v>
      </c>
      <c r="E43" s="44">
        <v>7000</v>
      </c>
      <c r="F43" s="44">
        <v>0</v>
      </c>
      <c r="G43" s="44">
        <v>7000</v>
      </c>
      <c r="H43" s="44"/>
      <c r="I43" s="45">
        <f t="shared" si="4"/>
        <v>7000</v>
      </c>
      <c r="J43" s="158"/>
      <c r="K43" s="111"/>
    </row>
    <row r="44" spans="1:13" ht="47.25" x14ac:dyDescent="0.25">
      <c r="A44" s="42" t="s">
        <v>41</v>
      </c>
      <c r="B44" s="49" t="s">
        <v>58</v>
      </c>
      <c r="C44" s="47" t="s">
        <v>59</v>
      </c>
      <c r="D44" s="44">
        <v>3200</v>
      </c>
      <c r="E44" s="44">
        <v>3000</v>
      </c>
      <c r="F44" s="44">
        <v>0</v>
      </c>
      <c r="G44" s="44">
        <v>3000</v>
      </c>
      <c r="H44" s="44"/>
      <c r="I44" s="45">
        <f t="shared" si="4"/>
        <v>3000</v>
      </c>
      <c r="J44" s="158"/>
      <c r="K44" s="111"/>
    </row>
    <row r="45" spans="1:13" ht="47.25" x14ac:dyDescent="0.25">
      <c r="A45" s="42" t="s">
        <v>41</v>
      </c>
      <c r="B45" s="49" t="s">
        <v>60</v>
      </c>
      <c r="C45" s="47" t="s">
        <v>61</v>
      </c>
      <c r="D45" s="44">
        <f>10000+5500+4000+10500</f>
        <v>30000</v>
      </c>
      <c r="E45" s="44">
        <v>10000</v>
      </c>
      <c r="F45" s="44">
        <v>0</v>
      </c>
      <c r="G45" s="44">
        <v>10000</v>
      </c>
      <c r="H45" s="44"/>
      <c r="I45" s="45">
        <f t="shared" si="4"/>
        <v>10000</v>
      </c>
      <c r="J45" s="158"/>
      <c r="K45" s="111"/>
    </row>
    <row r="46" spans="1:13" ht="47.25" x14ac:dyDescent="0.25">
      <c r="A46" s="42" t="s">
        <v>41</v>
      </c>
      <c r="B46" s="49" t="s">
        <v>62</v>
      </c>
      <c r="C46" s="47" t="s">
        <v>63</v>
      </c>
      <c r="D46" s="44">
        <v>29500</v>
      </c>
      <c r="E46" s="44">
        <v>20000</v>
      </c>
      <c r="F46" s="44">
        <v>0</v>
      </c>
      <c r="G46" s="44">
        <v>20000</v>
      </c>
      <c r="H46" s="44"/>
      <c r="I46" s="45">
        <f t="shared" si="4"/>
        <v>20000</v>
      </c>
      <c r="J46" s="158"/>
      <c r="K46" s="111"/>
    </row>
    <row r="47" spans="1:13" ht="47.25" x14ac:dyDescent="0.25">
      <c r="A47" s="42" t="s">
        <v>41</v>
      </c>
      <c r="B47" s="49" t="s">
        <v>64</v>
      </c>
      <c r="C47" s="47" t="s">
        <v>65</v>
      </c>
      <c r="D47" s="44">
        <v>11000</v>
      </c>
      <c r="E47" s="44">
        <v>10000</v>
      </c>
      <c r="F47" s="44">
        <v>0</v>
      </c>
      <c r="G47" s="44">
        <v>10000</v>
      </c>
      <c r="H47" s="44"/>
      <c r="I47" s="45">
        <f t="shared" si="4"/>
        <v>10000</v>
      </c>
      <c r="J47" s="158"/>
      <c r="K47" s="111"/>
    </row>
    <row r="48" spans="1:13" ht="47.25" x14ac:dyDescent="0.25">
      <c r="A48" s="42" t="s">
        <v>41</v>
      </c>
      <c r="B48" s="49" t="s">
        <v>66</v>
      </c>
      <c r="C48" s="47" t="s">
        <v>67</v>
      </c>
      <c r="D48" s="44">
        <v>3286</v>
      </c>
      <c r="E48" s="44">
        <v>3000</v>
      </c>
      <c r="F48" s="44">
        <v>0</v>
      </c>
      <c r="G48" s="44">
        <v>3000</v>
      </c>
      <c r="H48" s="44"/>
      <c r="I48" s="45">
        <f t="shared" si="4"/>
        <v>3000</v>
      </c>
      <c r="J48" s="159"/>
      <c r="K48" s="111"/>
    </row>
    <row r="54" spans="2:2" x14ac:dyDescent="0.25">
      <c r="B54" s="28">
        <f>59905+42000+28700</f>
        <v>130605</v>
      </c>
    </row>
  </sheetData>
  <mergeCells count="15">
    <mergeCell ref="J36:J48"/>
    <mergeCell ref="A1:J1"/>
    <mergeCell ref="A3:J3"/>
    <mergeCell ref="I6:I8"/>
    <mergeCell ref="J6:J8"/>
    <mergeCell ref="C7:C8"/>
    <mergeCell ref="D7:E7"/>
    <mergeCell ref="A2:J2"/>
    <mergeCell ref="A4:J4"/>
    <mergeCell ref="F5:J5"/>
    <mergeCell ref="A6:A8"/>
    <mergeCell ref="B6:B8"/>
    <mergeCell ref="C6:E6"/>
    <mergeCell ref="F6:F8"/>
    <mergeCell ref="G6:H7"/>
  </mergeCells>
  <pageMargins left="0.70866141732283472" right="0.19685039370078741" top="0.51181102362204722" bottom="0.51181102362204722" header="0.31496062992125984" footer="0.31496062992125984"/>
  <pageSetup paperSize="9" scale="77" fitToHeight="0"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4"/>
  <sheetViews>
    <sheetView zoomScale="70" zoomScaleNormal="70" workbookViewId="0">
      <selection activeCell="F11" sqref="F11"/>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3.875" style="26" customWidth="1"/>
    <col min="7" max="8" width="10.625" style="26" customWidth="1"/>
    <col min="9" max="9" width="11.375" style="26" customWidth="1"/>
    <col min="10" max="10" width="12.75" style="26" customWidth="1"/>
    <col min="11" max="11" width="40.875" style="106" customWidth="1"/>
    <col min="12" max="12" width="21.625" style="108" hidden="1" customWidth="1"/>
    <col min="13" max="13" width="14.75" style="26" bestFit="1" customWidth="1"/>
    <col min="14" max="16384" width="9" style="26"/>
  </cols>
  <sheetData>
    <row r="1" spans="1:13" x14ac:dyDescent="0.25">
      <c r="A1" s="151" t="s">
        <v>262</v>
      </c>
      <c r="B1" s="151"/>
      <c r="C1" s="151"/>
      <c r="D1" s="151"/>
      <c r="E1" s="151"/>
      <c r="F1" s="151"/>
      <c r="G1" s="151"/>
      <c r="H1" s="151"/>
      <c r="I1" s="151"/>
      <c r="J1" s="151"/>
      <c r="K1" s="151"/>
    </row>
    <row r="2" spans="1:13" ht="15.6" customHeight="1" x14ac:dyDescent="0.25">
      <c r="A2" s="151" t="s">
        <v>258</v>
      </c>
      <c r="B2" s="151"/>
      <c r="C2" s="151"/>
      <c r="D2" s="151"/>
      <c r="E2" s="151"/>
      <c r="F2" s="151"/>
      <c r="G2" s="151"/>
      <c r="H2" s="151"/>
      <c r="I2" s="151"/>
      <c r="J2" s="151"/>
      <c r="K2" s="151"/>
      <c r="L2" s="107"/>
    </row>
    <row r="3" spans="1:13" x14ac:dyDescent="0.25">
      <c r="A3" s="151" t="s">
        <v>183</v>
      </c>
      <c r="B3" s="151"/>
      <c r="C3" s="151"/>
      <c r="D3" s="151"/>
      <c r="E3" s="151"/>
      <c r="F3" s="151"/>
      <c r="G3" s="151"/>
      <c r="H3" s="151"/>
      <c r="I3" s="151"/>
      <c r="J3" s="151"/>
      <c r="K3" s="151"/>
      <c r="L3" s="107"/>
    </row>
    <row r="4" spans="1:13" x14ac:dyDescent="0.25">
      <c r="A4" s="152" t="s">
        <v>320</v>
      </c>
      <c r="B4" s="152"/>
      <c r="C4" s="152"/>
      <c r="D4" s="152"/>
      <c r="E4" s="152"/>
      <c r="F4" s="152"/>
      <c r="G4" s="152"/>
      <c r="H4" s="152"/>
      <c r="I4" s="152"/>
      <c r="J4" s="152"/>
      <c r="K4" s="152"/>
    </row>
    <row r="5" spans="1:13" x14ac:dyDescent="0.25">
      <c r="F5" s="153" t="s">
        <v>321</v>
      </c>
      <c r="G5" s="153"/>
      <c r="H5" s="153"/>
      <c r="I5" s="153"/>
      <c r="J5" s="153"/>
      <c r="K5" s="153"/>
    </row>
    <row r="6" spans="1:13" ht="15.6" customHeight="1" x14ac:dyDescent="0.25">
      <c r="A6" s="165" t="s">
        <v>2</v>
      </c>
      <c r="B6" s="166" t="s">
        <v>3</v>
      </c>
      <c r="C6" s="166" t="s">
        <v>4</v>
      </c>
      <c r="D6" s="166"/>
      <c r="E6" s="166"/>
      <c r="F6" s="166" t="s">
        <v>5</v>
      </c>
      <c r="G6" s="166" t="s">
        <v>107</v>
      </c>
      <c r="H6" s="166"/>
      <c r="I6" s="166" t="s">
        <v>108</v>
      </c>
      <c r="J6" s="167" t="s">
        <v>6</v>
      </c>
      <c r="K6" s="166" t="s">
        <v>7</v>
      </c>
      <c r="L6" s="109"/>
    </row>
    <row r="7" spans="1:13" x14ac:dyDescent="0.25">
      <c r="A7" s="165"/>
      <c r="B7" s="166"/>
      <c r="C7" s="166" t="s">
        <v>8</v>
      </c>
      <c r="D7" s="166" t="s">
        <v>9</v>
      </c>
      <c r="E7" s="166"/>
      <c r="F7" s="166"/>
      <c r="G7" s="166"/>
      <c r="H7" s="166"/>
      <c r="I7" s="166"/>
      <c r="J7" s="167"/>
      <c r="K7" s="166"/>
      <c r="L7" s="110"/>
    </row>
    <row r="8" spans="1:13" ht="48.75" customHeight="1" x14ac:dyDescent="0.25">
      <c r="A8" s="165"/>
      <c r="B8" s="166"/>
      <c r="C8" s="166"/>
      <c r="D8" s="33" t="s">
        <v>10</v>
      </c>
      <c r="E8" s="33" t="s">
        <v>260</v>
      </c>
      <c r="F8" s="166"/>
      <c r="G8" s="118" t="s">
        <v>309</v>
      </c>
      <c r="H8" s="118" t="s">
        <v>310</v>
      </c>
      <c r="I8" s="166"/>
      <c r="J8" s="167"/>
      <c r="K8" s="166"/>
      <c r="L8" s="111"/>
    </row>
    <row r="9" spans="1:13" s="38" customFormat="1" x14ac:dyDescent="0.25">
      <c r="A9" s="32"/>
      <c r="B9" s="33" t="s">
        <v>13</v>
      </c>
      <c r="C9" s="33"/>
      <c r="D9" s="33"/>
      <c r="E9" s="33"/>
      <c r="F9" s="34"/>
      <c r="G9" s="33">
        <f>G10+G33+G47</f>
        <v>130605</v>
      </c>
      <c r="H9" s="33">
        <f t="shared" ref="H9:I9" si="0">H10+H33+H47</f>
        <v>130605</v>
      </c>
      <c r="I9" s="33">
        <f t="shared" si="0"/>
        <v>350000</v>
      </c>
      <c r="J9" s="33"/>
      <c r="K9" s="33"/>
      <c r="L9" s="112"/>
      <c r="M9" s="37">
        <f>G9-L9</f>
        <v>130605</v>
      </c>
    </row>
    <row r="10" spans="1:13" s="38" customFormat="1" ht="47.25" x14ac:dyDescent="0.25">
      <c r="A10" s="39" t="s">
        <v>264</v>
      </c>
      <c r="B10" s="67" t="s">
        <v>263</v>
      </c>
      <c r="C10" s="39"/>
      <c r="D10" s="68"/>
      <c r="E10" s="68"/>
      <c r="F10" s="34"/>
      <c r="G10" s="34">
        <f>G21</f>
        <v>59905</v>
      </c>
      <c r="H10" s="34">
        <f>H21</f>
        <v>59905</v>
      </c>
      <c r="I10" s="34">
        <f>I11</f>
        <v>200000</v>
      </c>
      <c r="J10" s="34"/>
      <c r="K10" s="40"/>
      <c r="L10" s="113"/>
    </row>
    <row r="11" spans="1:13" s="38" customFormat="1" ht="31.5" x14ac:dyDescent="0.25">
      <c r="A11" s="39" t="s">
        <v>76</v>
      </c>
      <c r="B11" s="67" t="s">
        <v>267</v>
      </c>
      <c r="C11" s="39"/>
      <c r="D11" s="68"/>
      <c r="E11" s="68"/>
      <c r="F11" s="34">
        <v>2250000</v>
      </c>
      <c r="G11" s="34"/>
      <c r="H11" s="34"/>
      <c r="I11" s="34">
        <f>I12+I13+I16</f>
        <v>200000</v>
      </c>
      <c r="J11" s="34">
        <f>F11-I11</f>
        <v>2050000</v>
      </c>
      <c r="K11" s="40"/>
      <c r="L11" s="113"/>
    </row>
    <row r="12" spans="1:13" x14ac:dyDescent="0.25">
      <c r="A12" s="47">
        <v>1</v>
      </c>
      <c r="B12" s="120" t="s">
        <v>115</v>
      </c>
      <c r="C12" s="47"/>
      <c r="D12" s="30"/>
      <c r="E12" s="30"/>
      <c r="F12" s="45">
        <v>337500</v>
      </c>
      <c r="G12" s="45"/>
      <c r="H12" s="45"/>
      <c r="I12" s="45">
        <f>200000*0.15</f>
        <v>30000</v>
      </c>
      <c r="J12" s="45">
        <f>F12-I12</f>
        <v>307500</v>
      </c>
      <c r="K12" s="50"/>
      <c r="L12" s="111"/>
    </row>
    <row r="13" spans="1:13" x14ac:dyDescent="0.25">
      <c r="A13" s="47" t="s">
        <v>116</v>
      </c>
      <c r="B13" s="120" t="s">
        <v>117</v>
      </c>
      <c r="C13" s="47"/>
      <c r="D13" s="30"/>
      <c r="E13" s="30"/>
      <c r="F13" s="45">
        <v>1053530</v>
      </c>
      <c r="G13" s="45"/>
      <c r="H13" s="45"/>
      <c r="I13" s="45">
        <f>I15</f>
        <v>94000</v>
      </c>
      <c r="J13" s="45">
        <f>F13-I13</f>
        <v>959530</v>
      </c>
      <c r="K13" s="50"/>
      <c r="L13" s="111"/>
    </row>
    <row r="14" spans="1:13" s="38" customFormat="1" x14ac:dyDescent="0.25">
      <c r="A14" s="39"/>
      <c r="B14" s="48" t="s">
        <v>40</v>
      </c>
      <c r="C14" s="1"/>
      <c r="D14" s="68"/>
      <c r="E14" s="68"/>
      <c r="F14" s="34"/>
      <c r="G14" s="34"/>
      <c r="H14" s="34"/>
      <c r="I14" s="34"/>
      <c r="J14" s="34"/>
      <c r="K14" s="40"/>
      <c r="L14" s="113"/>
    </row>
    <row r="15" spans="1:13" s="38" customFormat="1" ht="31.5" x14ac:dyDescent="0.25">
      <c r="A15" s="39" t="s">
        <v>121</v>
      </c>
      <c r="B15" s="72" t="s">
        <v>118</v>
      </c>
      <c r="C15" s="47" t="s">
        <v>181</v>
      </c>
      <c r="D15" s="73">
        <v>546680</v>
      </c>
      <c r="E15" s="73">
        <f>D15</f>
        <v>546680</v>
      </c>
      <c r="F15" s="2">
        <v>418538</v>
      </c>
      <c r="G15" s="34"/>
      <c r="H15" s="34"/>
      <c r="I15" s="2">
        <f>200000*0.47</f>
        <v>94000</v>
      </c>
      <c r="J15" s="45">
        <f>F15-I15</f>
        <v>324538</v>
      </c>
      <c r="K15" s="48" t="s">
        <v>198</v>
      </c>
      <c r="L15" s="113"/>
    </row>
    <row r="16" spans="1:13" ht="31.5" x14ac:dyDescent="0.25">
      <c r="A16" s="47" t="s">
        <v>119</v>
      </c>
      <c r="B16" s="120" t="s">
        <v>120</v>
      </c>
      <c r="C16" s="47"/>
      <c r="D16" s="30"/>
      <c r="E16" s="30"/>
      <c r="F16" s="45">
        <v>858970</v>
      </c>
      <c r="G16" s="45"/>
      <c r="H16" s="45"/>
      <c r="I16" s="45">
        <f>SUM(I17:I20)</f>
        <v>76000</v>
      </c>
      <c r="J16" s="45">
        <f>F16-I16</f>
        <v>782970</v>
      </c>
      <c r="K16" s="50"/>
      <c r="L16" s="111"/>
      <c r="M16" s="25">
        <f>171000-I16</f>
        <v>95000</v>
      </c>
    </row>
    <row r="17" spans="1:13" x14ac:dyDescent="0.25">
      <c r="A17" s="3"/>
      <c r="B17" s="48" t="s">
        <v>40</v>
      </c>
      <c r="C17" s="49"/>
      <c r="D17" s="49"/>
      <c r="E17" s="49"/>
      <c r="F17" s="48"/>
      <c r="G17" s="48"/>
      <c r="H17" s="48"/>
      <c r="I17" s="48"/>
      <c r="J17" s="48"/>
      <c r="K17" s="50"/>
      <c r="L17" s="111"/>
    </row>
    <row r="18" spans="1:13" ht="31.5" x14ac:dyDescent="0.25">
      <c r="A18" s="4" t="s">
        <v>121</v>
      </c>
      <c r="B18" s="48" t="s">
        <v>122</v>
      </c>
      <c r="C18" s="31" t="s">
        <v>182</v>
      </c>
      <c r="D18" s="74">
        <v>18000</v>
      </c>
      <c r="E18" s="74">
        <v>18000</v>
      </c>
      <c r="F18" s="2">
        <v>18000</v>
      </c>
      <c r="G18" s="48"/>
      <c r="H18" s="2"/>
      <c r="I18" s="2">
        <v>17239</v>
      </c>
      <c r="J18" s="75">
        <f>F18-I18</f>
        <v>761</v>
      </c>
      <c r="K18" s="76" t="s">
        <v>127</v>
      </c>
      <c r="L18" s="116"/>
      <c r="M18" s="26">
        <f>150000*0.38</f>
        <v>57000</v>
      </c>
    </row>
    <row r="19" spans="1:13" ht="47.25" x14ac:dyDescent="0.25">
      <c r="A19" s="4" t="s">
        <v>121</v>
      </c>
      <c r="B19" s="48" t="s">
        <v>125</v>
      </c>
      <c r="C19" s="31" t="s">
        <v>152</v>
      </c>
      <c r="D19" s="73">
        <v>60000</v>
      </c>
      <c r="E19" s="73">
        <f>D19</f>
        <v>60000</v>
      </c>
      <c r="F19" s="2">
        <v>60000</v>
      </c>
      <c r="G19" s="48"/>
      <c r="H19" s="2"/>
      <c r="I19" s="2">
        <v>32761</v>
      </c>
      <c r="J19" s="75">
        <f>F19-I19</f>
        <v>27239</v>
      </c>
      <c r="K19" s="48" t="s">
        <v>236</v>
      </c>
      <c r="L19" s="111" t="s">
        <v>237</v>
      </c>
      <c r="M19" s="119">
        <f>J19-17396</f>
        <v>9843</v>
      </c>
    </row>
    <row r="20" spans="1:13" ht="63" x14ac:dyDescent="0.25">
      <c r="A20" s="4" t="s">
        <v>121</v>
      </c>
      <c r="B20" s="77" t="s">
        <v>126</v>
      </c>
      <c r="C20" s="49"/>
      <c r="D20" s="49"/>
      <c r="E20" s="49"/>
      <c r="F20" s="2">
        <v>26000</v>
      </c>
      <c r="G20" s="48"/>
      <c r="H20" s="2"/>
      <c r="I20" s="2">
        <v>26000</v>
      </c>
      <c r="J20" s="75">
        <f>F20-I20</f>
        <v>0</v>
      </c>
      <c r="K20" s="48" t="s">
        <v>128</v>
      </c>
      <c r="L20" s="111"/>
    </row>
    <row r="21" spans="1:13" s="38" customFormat="1" ht="31.5" x14ac:dyDescent="0.25">
      <c r="A21" s="5" t="s">
        <v>78</v>
      </c>
      <c r="B21" s="78" t="s">
        <v>130</v>
      </c>
      <c r="C21" s="65"/>
      <c r="D21" s="65"/>
      <c r="E21" s="65"/>
      <c r="F21" s="1">
        <f>SUM(F22:F32)</f>
        <v>294847</v>
      </c>
      <c r="G21" s="1">
        <f>SUM(G22:G32)</f>
        <v>59905</v>
      </c>
      <c r="H21" s="1">
        <f>SUM(H22:H32)</f>
        <v>59905</v>
      </c>
      <c r="I21" s="1"/>
      <c r="J21" s="1">
        <f>SUM(J22:J32)</f>
        <v>294847</v>
      </c>
      <c r="K21" s="79"/>
      <c r="L21" s="113"/>
    </row>
    <row r="22" spans="1:13" s="38" customFormat="1" x14ac:dyDescent="0.25">
      <c r="A22" s="39" t="s">
        <v>129</v>
      </c>
      <c r="B22" s="41" t="s">
        <v>14</v>
      </c>
      <c r="C22" s="69"/>
      <c r="D22" s="81"/>
      <c r="E22" s="81"/>
      <c r="F22" s="34"/>
      <c r="G22" s="34"/>
      <c r="H22" s="34"/>
      <c r="I22" s="34"/>
      <c r="J22" s="34"/>
      <c r="K22" s="40"/>
      <c r="L22" s="113"/>
    </row>
    <row r="23" spans="1:13" ht="94.5" x14ac:dyDescent="0.25">
      <c r="A23" s="42">
        <v>1</v>
      </c>
      <c r="B23" s="43" t="s">
        <v>79</v>
      </c>
      <c r="C23" s="47" t="s">
        <v>80</v>
      </c>
      <c r="D23" s="44">
        <v>11922</v>
      </c>
      <c r="E23" s="44">
        <v>10000</v>
      </c>
      <c r="F23" s="44">
        <v>10000</v>
      </c>
      <c r="G23" s="44"/>
      <c r="H23" s="44">
        <v>3000</v>
      </c>
      <c r="I23" s="44"/>
      <c r="J23" s="45">
        <f>F23+G23-H23</f>
        <v>7000</v>
      </c>
      <c r="K23" s="46" t="s">
        <v>81</v>
      </c>
      <c r="L23" s="111"/>
    </row>
    <row r="24" spans="1:13" ht="47.25" x14ac:dyDescent="0.25">
      <c r="A24" s="42">
        <v>2</v>
      </c>
      <c r="B24" s="43" t="s">
        <v>82</v>
      </c>
      <c r="C24" s="47" t="s">
        <v>83</v>
      </c>
      <c r="D24" s="44">
        <v>7890</v>
      </c>
      <c r="E24" s="44">
        <v>7890</v>
      </c>
      <c r="F24" s="44">
        <v>4800</v>
      </c>
      <c r="G24" s="44"/>
      <c r="H24" s="44">
        <v>257</v>
      </c>
      <c r="I24" s="44"/>
      <c r="J24" s="45">
        <f>F24+G24-H24</f>
        <v>4543</v>
      </c>
      <c r="K24" s="46" t="s">
        <v>220</v>
      </c>
      <c r="L24" s="111"/>
    </row>
    <row r="25" spans="1:13" ht="63" x14ac:dyDescent="0.25">
      <c r="A25" s="42">
        <v>3</v>
      </c>
      <c r="B25" s="43" t="s">
        <v>84</v>
      </c>
      <c r="C25" s="47" t="s">
        <v>85</v>
      </c>
      <c r="D25" s="82">
        <v>18948</v>
      </c>
      <c r="E25" s="82">
        <v>18948</v>
      </c>
      <c r="F25" s="44">
        <v>12000</v>
      </c>
      <c r="G25" s="44"/>
      <c r="H25" s="44">
        <v>3217</v>
      </c>
      <c r="I25" s="44"/>
      <c r="J25" s="45">
        <f>F25+G25-H25</f>
        <v>8783</v>
      </c>
      <c r="K25" s="46" t="s">
        <v>219</v>
      </c>
      <c r="L25" s="111"/>
    </row>
    <row r="26" spans="1:13" ht="31.5" x14ac:dyDescent="0.25">
      <c r="A26" s="42">
        <v>4</v>
      </c>
      <c r="B26" s="43" t="s">
        <v>86</v>
      </c>
      <c r="C26" s="47" t="s">
        <v>87</v>
      </c>
      <c r="D26" s="82">
        <v>7300</v>
      </c>
      <c r="E26" s="82">
        <v>7300</v>
      </c>
      <c r="F26" s="44">
        <v>6500</v>
      </c>
      <c r="G26" s="44"/>
      <c r="H26" s="44">
        <v>1282</v>
      </c>
      <c r="I26" s="44"/>
      <c r="J26" s="45">
        <f>F26+G26-H26</f>
        <v>5218</v>
      </c>
      <c r="K26" s="46" t="s">
        <v>219</v>
      </c>
      <c r="L26" s="111"/>
    </row>
    <row r="27" spans="1:13" ht="31.5" x14ac:dyDescent="0.25">
      <c r="A27" s="42">
        <v>5</v>
      </c>
      <c r="B27" s="43" t="s">
        <v>88</v>
      </c>
      <c r="C27" s="47" t="s">
        <v>178</v>
      </c>
      <c r="D27" s="82">
        <v>63100</v>
      </c>
      <c r="E27" s="82">
        <v>63100</v>
      </c>
      <c r="F27" s="44">
        <v>49100</v>
      </c>
      <c r="G27" s="44"/>
      <c r="H27" s="44">
        <v>2149</v>
      </c>
      <c r="I27" s="44"/>
      <c r="J27" s="45">
        <f>F27+G27-H27</f>
        <v>46951</v>
      </c>
      <c r="K27" s="46" t="s">
        <v>89</v>
      </c>
      <c r="L27" s="111"/>
    </row>
    <row r="28" spans="1:13" s="52" customFormat="1" ht="72.599999999999994" customHeight="1" x14ac:dyDescent="0.25">
      <c r="A28" s="42">
        <v>6</v>
      </c>
      <c r="B28" s="43" t="s">
        <v>206</v>
      </c>
      <c r="C28" s="47" t="s">
        <v>207</v>
      </c>
      <c r="D28" s="55">
        <v>2446067</v>
      </c>
      <c r="E28" s="24">
        <v>216645</v>
      </c>
      <c r="F28" s="56">
        <f>130000+20447</f>
        <v>150447</v>
      </c>
      <c r="G28" s="44"/>
      <c r="H28" s="44">
        <v>50000</v>
      </c>
      <c r="I28" s="44"/>
      <c r="J28" s="45">
        <f>F28-H28</f>
        <v>100447</v>
      </c>
      <c r="K28" s="49" t="s">
        <v>208</v>
      </c>
      <c r="L28" s="111"/>
      <c r="M28" s="26"/>
    </row>
    <row r="29" spans="1:13" s="38" customFormat="1" x14ac:dyDescent="0.25">
      <c r="A29" s="39" t="s">
        <v>129</v>
      </c>
      <c r="B29" s="41" t="s">
        <v>31</v>
      </c>
      <c r="C29" s="69"/>
      <c r="D29" s="81"/>
      <c r="E29" s="81"/>
      <c r="F29" s="34"/>
      <c r="G29" s="34"/>
      <c r="H29" s="34"/>
      <c r="I29" s="34"/>
      <c r="J29" s="34"/>
      <c r="K29" s="40"/>
      <c r="L29" s="113"/>
    </row>
    <row r="30" spans="1:13" ht="47.25" x14ac:dyDescent="0.25">
      <c r="A30" s="42">
        <v>1</v>
      </c>
      <c r="B30" s="43" t="s">
        <v>90</v>
      </c>
      <c r="C30" s="47" t="s">
        <v>91</v>
      </c>
      <c r="D30" s="82">
        <v>9500</v>
      </c>
      <c r="E30" s="82">
        <v>3000</v>
      </c>
      <c r="F30" s="44">
        <v>0</v>
      </c>
      <c r="G30" s="44">
        <v>3000</v>
      </c>
      <c r="H30" s="44"/>
      <c r="I30" s="44"/>
      <c r="J30" s="45">
        <f>F30+G30-H30</f>
        <v>3000</v>
      </c>
      <c r="K30" s="54" t="s">
        <v>92</v>
      </c>
      <c r="L30" s="111"/>
    </row>
    <row r="31" spans="1:13" ht="47.25" x14ac:dyDescent="0.25">
      <c r="A31" s="42">
        <v>2</v>
      </c>
      <c r="B31" s="43" t="s">
        <v>93</v>
      </c>
      <c r="C31" s="47" t="s">
        <v>109</v>
      </c>
      <c r="D31" s="82">
        <v>251951</v>
      </c>
      <c r="E31" s="82">
        <v>251951</v>
      </c>
      <c r="F31" s="44">
        <v>62000</v>
      </c>
      <c r="G31" s="44">
        <v>6905</v>
      </c>
      <c r="H31" s="44"/>
      <c r="I31" s="44"/>
      <c r="J31" s="45">
        <f>F31+G31-H31</f>
        <v>68905</v>
      </c>
      <c r="K31" s="49" t="s">
        <v>94</v>
      </c>
      <c r="L31" s="111"/>
    </row>
    <row r="32" spans="1:13" s="52" customFormat="1" ht="47.25" x14ac:dyDescent="0.25">
      <c r="A32" s="42">
        <v>3</v>
      </c>
      <c r="B32" s="43" t="s">
        <v>209</v>
      </c>
      <c r="C32" s="47" t="s">
        <v>217</v>
      </c>
      <c r="D32" s="55">
        <f>998151+96170</f>
        <v>1094321</v>
      </c>
      <c r="E32" s="55">
        <f>255679+96170</f>
        <v>351849</v>
      </c>
      <c r="F32" s="56">
        <v>0</v>
      </c>
      <c r="G32" s="44">
        <v>50000</v>
      </c>
      <c r="H32" s="44"/>
      <c r="I32" s="44"/>
      <c r="J32" s="45">
        <f>F32+G32</f>
        <v>50000</v>
      </c>
      <c r="K32" s="49" t="s">
        <v>218</v>
      </c>
      <c r="L32" s="111"/>
      <c r="M32" s="26"/>
    </row>
    <row r="33" spans="1:12" s="38" customFormat="1" ht="47.25" x14ac:dyDescent="0.25">
      <c r="A33" s="39" t="s">
        <v>265</v>
      </c>
      <c r="B33" s="67" t="s">
        <v>266</v>
      </c>
      <c r="C33" s="39"/>
      <c r="D33" s="68"/>
      <c r="E33" s="68"/>
      <c r="F33" s="34"/>
      <c r="G33" s="34">
        <f>G42</f>
        <v>42000</v>
      </c>
      <c r="H33" s="34">
        <f>H42</f>
        <v>42000</v>
      </c>
      <c r="I33" s="34">
        <f>I34</f>
        <v>150000</v>
      </c>
      <c r="J33" s="34"/>
      <c r="K33" s="40"/>
      <c r="L33" s="113"/>
    </row>
    <row r="34" spans="1:12" s="38" customFormat="1" ht="31.5" x14ac:dyDescent="0.25">
      <c r="A34" s="39" t="s">
        <v>76</v>
      </c>
      <c r="B34" s="67" t="s">
        <v>267</v>
      </c>
      <c r="C34" s="39"/>
      <c r="D34" s="68"/>
      <c r="E34" s="68"/>
      <c r="F34" s="34">
        <v>1030000</v>
      </c>
      <c r="G34" s="34"/>
      <c r="H34" s="34"/>
      <c r="I34" s="34">
        <f>I35+I36</f>
        <v>150000</v>
      </c>
      <c r="J34" s="34">
        <f>F34-I34</f>
        <v>880000</v>
      </c>
      <c r="K34" s="40"/>
      <c r="L34" s="113"/>
    </row>
    <row r="35" spans="1:12" x14ac:dyDescent="0.25">
      <c r="A35" s="47">
        <v>1</v>
      </c>
      <c r="B35" s="120" t="s">
        <v>115</v>
      </c>
      <c r="C35" s="47"/>
      <c r="D35" s="30"/>
      <c r="E35" s="30"/>
      <c r="F35" s="45">
        <v>154500</v>
      </c>
      <c r="G35" s="45"/>
      <c r="H35" s="45"/>
      <c r="I35" s="45">
        <v>22500</v>
      </c>
      <c r="J35" s="45">
        <f>F35-I35</f>
        <v>132000</v>
      </c>
      <c r="K35" s="50"/>
      <c r="L35" s="111"/>
    </row>
    <row r="36" spans="1:12" ht="31.5" x14ac:dyDescent="0.25">
      <c r="A36" s="47" t="s">
        <v>116</v>
      </c>
      <c r="B36" s="121" t="s">
        <v>42</v>
      </c>
      <c r="C36" s="47"/>
      <c r="D36" s="30"/>
      <c r="E36" s="30"/>
      <c r="F36" s="45">
        <v>875500</v>
      </c>
      <c r="G36" s="45">
        <v>12000</v>
      </c>
      <c r="H36" s="45"/>
      <c r="I36" s="45">
        <f>SUM(I37:I41)</f>
        <v>127500</v>
      </c>
      <c r="J36" s="45">
        <f>F36-I36</f>
        <v>748000</v>
      </c>
      <c r="K36" s="50"/>
      <c r="L36" s="111"/>
    </row>
    <row r="37" spans="1:12" ht="31.5" x14ac:dyDescent="0.25">
      <c r="A37" s="3"/>
      <c r="B37" s="48" t="s">
        <v>44</v>
      </c>
      <c r="C37" s="49"/>
      <c r="D37" s="49"/>
      <c r="E37" s="49"/>
      <c r="F37" s="48"/>
      <c r="G37" s="48"/>
      <c r="H37" s="48"/>
      <c r="I37" s="48"/>
      <c r="J37" s="48"/>
      <c r="K37" s="50"/>
      <c r="L37" s="111"/>
    </row>
    <row r="38" spans="1:12" ht="63" x14ac:dyDescent="0.25">
      <c r="A38" s="47" t="s">
        <v>121</v>
      </c>
      <c r="B38" s="49" t="s">
        <v>46</v>
      </c>
      <c r="C38" s="49"/>
      <c r="D38" s="49"/>
      <c r="E38" s="49"/>
      <c r="F38" s="44">
        <v>36000</v>
      </c>
      <c r="G38" s="44"/>
      <c r="H38" s="44"/>
      <c r="I38" s="44">
        <v>36000</v>
      </c>
      <c r="J38" s="48">
        <f>F38-I38</f>
        <v>0</v>
      </c>
      <c r="K38" s="48" t="s">
        <v>226</v>
      </c>
      <c r="L38" s="111"/>
    </row>
    <row r="39" spans="1:12" ht="63" x14ac:dyDescent="0.25">
      <c r="A39" s="47" t="s">
        <v>121</v>
      </c>
      <c r="B39" s="129" t="s">
        <v>48</v>
      </c>
      <c r="C39" s="47" t="s">
        <v>307</v>
      </c>
      <c r="D39" s="56">
        <v>23000</v>
      </c>
      <c r="E39" s="56">
        <f>D39</f>
        <v>23000</v>
      </c>
      <c r="F39" s="44">
        <v>23000</v>
      </c>
      <c r="G39" s="44"/>
      <c r="H39" s="44"/>
      <c r="I39" s="44">
        <f>'3.XSKT'!J11+'3.XSKT'!G26</f>
        <v>7220</v>
      </c>
      <c r="J39" s="44">
        <f>F39-I39</f>
        <v>15780</v>
      </c>
      <c r="K39" s="48" t="s">
        <v>306</v>
      </c>
      <c r="L39" s="111"/>
    </row>
    <row r="40" spans="1:12" ht="31.5" x14ac:dyDescent="0.25">
      <c r="A40" s="47" t="s">
        <v>121</v>
      </c>
      <c r="B40" s="77" t="s">
        <v>50</v>
      </c>
      <c r="C40" s="47" t="s">
        <v>195</v>
      </c>
      <c r="D40" s="44">
        <v>345355</v>
      </c>
      <c r="E40" s="44">
        <v>345355</v>
      </c>
      <c r="F40" s="44">
        <v>345355</v>
      </c>
      <c r="G40" s="44"/>
      <c r="H40" s="44"/>
      <c r="I40" s="44">
        <v>14735</v>
      </c>
      <c r="J40" s="44">
        <f>F40-I40</f>
        <v>330620</v>
      </c>
      <c r="K40" s="48" t="s">
        <v>133</v>
      </c>
      <c r="L40" s="111"/>
    </row>
    <row r="41" spans="1:12" ht="126" x14ac:dyDescent="0.25">
      <c r="A41" s="42" t="s">
        <v>121</v>
      </c>
      <c r="B41" s="84" t="s">
        <v>52</v>
      </c>
      <c r="C41" s="47"/>
      <c r="D41" s="82"/>
      <c r="E41" s="82"/>
      <c r="F41" s="44">
        <f>222565-40800-48000</f>
        <v>133765</v>
      </c>
      <c r="G41" s="44"/>
      <c r="H41" s="44"/>
      <c r="I41" s="44">
        <f>76765-I39</f>
        <v>69545</v>
      </c>
      <c r="J41" s="45">
        <f>F41-I41</f>
        <v>64220</v>
      </c>
      <c r="K41" s="53" t="s">
        <v>233</v>
      </c>
      <c r="L41" s="111"/>
    </row>
    <row r="42" spans="1:12" s="38" customFormat="1" ht="31.5" x14ac:dyDescent="0.25">
      <c r="A42" s="5" t="s">
        <v>78</v>
      </c>
      <c r="B42" s="78" t="s">
        <v>54</v>
      </c>
      <c r="C42" s="65"/>
      <c r="D42" s="65"/>
      <c r="E42" s="65"/>
      <c r="F42" s="1">
        <f>SUM(F43:F46)</f>
        <v>64220</v>
      </c>
      <c r="G42" s="1">
        <f>SUM(G43:G46)</f>
        <v>42000</v>
      </c>
      <c r="H42" s="1">
        <f>SUM(H43:H46)</f>
        <v>42000</v>
      </c>
      <c r="I42" s="1"/>
      <c r="J42" s="1">
        <f>SUM(J43:J46)</f>
        <v>64220</v>
      </c>
      <c r="K42" s="79"/>
      <c r="L42" s="113"/>
    </row>
    <row r="43" spans="1:12" s="38" customFormat="1" x14ac:dyDescent="0.25">
      <c r="A43" s="39" t="s">
        <v>129</v>
      </c>
      <c r="B43" s="41" t="s">
        <v>14</v>
      </c>
      <c r="C43" s="69"/>
      <c r="D43" s="81"/>
      <c r="E43" s="81"/>
      <c r="F43" s="34"/>
      <c r="G43" s="34"/>
      <c r="H43" s="34"/>
      <c r="I43" s="34"/>
      <c r="J43" s="34"/>
      <c r="K43" s="40"/>
      <c r="L43" s="113"/>
    </row>
    <row r="44" spans="1:12" ht="110.25" x14ac:dyDescent="0.25">
      <c r="A44" s="42">
        <v>1</v>
      </c>
      <c r="B44" s="84" t="s">
        <v>95</v>
      </c>
      <c r="C44" s="47"/>
      <c r="D44" s="82"/>
      <c r="E44" s="82"/>
      <c r="F44" s="44">
        <f>J41</f>
        <v>64220</v>
      </c>
      <c r="G44" s="44"/>
      <c r="H44" s="44">
        <v>42000</v>
      </c>
      <c r="I44" s="44"/>
      <c r="J44" s="45">
        <f>F44-H44-I44</f>
        <v>22220</v>
      </c>
      <c r="K44" s="53" t="s">
        <v>312</v>
      </c>
      <c r="L44" s="114" t="s">
        <v>240</v>
      </c>
    </row>
    <row r="45" spans="1:12" s="38" customFormat="1" ht="31.5" x14ac:dyDescent="0.25">
      <c r="A45" s="39"/>
      <c r="B45" s="41" t="s">
        <v>60</v>
      </c>
      <c r="C45" s="69"/>
      <c r="D45" s="81"/>
      <c r="E45" s="81"/>
      <c r="F45" s="34"/>
      <c r="G45" s="34"/>
      <c r="H45" s="34"/>
      <c r="I45" s="34"/>
      <c r="J45" s="34"/>
      <c r="K45" s="40"/>
      <c r="L45" s="113"/>
    </row>
    <row r="46" spans="1:12" ht="31.5" x14ac:dyDescent="0.25">
      <c r="A46" s="42">
        <v>1</v>
      </c>
      <c r="B46" s="43" t="s">
        <v>62</v>
      </c>
      <c r="C46" s="47" t="s">
        <v>33</v>
      </c>
      <c r="D46" s="44">
        <v>1152920</v>
      </c>
      <c r="E46" s="44">
        <v>134560</v>
      </c>
      <c r="F46" s="44">
        <v>0</v>
      </c>
      <c r="G46" s="44">
        <v>42000</v>
      </c>
      <c r="H46" s="44"/>
      <c r="I46" s="44"/>
      <c r="J46" s="45">
        <f>F46+G46-H46</f>
        <v>42000</v>
      </c>
      <c r="K46" s="54" t="s">
        <v>111</v>
      </c>
      <c r="L46" s="114" t="s">
        <v>240</v>
      </c>
    </row>
    <row r="47" spans="1:12" s="38" customFormat="1" ht="31.5" x14ac:dyDescent="0.25">
      <c r="A47" s="39" t="s">
        <v>268</v>
      </c>
      <c r="B47" s="67" t="s">
        <v>64</v>
      </c>
      <c r="C47" s="39"/>
      <c r="D47" s="68"/>
      <c r="E47" s="68"/>
      <c r="F47" s="34">
        <v>110000</v>
      </c>
      <c r="G47" s="34">
        <f>SUM(G49:G54)</f>
        <v>28700</v>
      </c>
      <c r="H47" s="34">
        <f>SUM(H49:H54)</f>
        <v>28700</v>
      </c>
      <c r="I47" s="34"/>
      <c r="J47" s="34">
        <v>110000</v>
      </c>
      <c r="K47" s="40"/>
      <c r="L47" s="113"/>
    </row>
    <row r="48" spans="1:12" s="38" customFormat="1" ht="31.5" x14ac:dyDescent="0.25">
      <c r="A48" s="39" t="s">
        <v>129</v>
      </c>
      <c r="B48" s="41" t="s">
        <v>66</v>
      </c>
      <c r="C48" s="69"/>
      <c r="D48" s="81"/>
      <c r="E48" s="81"/>
      <c r="F48" s="34"/>
      <c r="G48" s="34"/>
      <c r="H48" s="34"/>
      <c r="I48" s="34"/>
      <c r="J48" s="34"/>
      <c r="K48" s="40"/>
      <c r="L48" s="113"/>
    </row>
    <row r="49" spans="1:12" ht="126" x14ac:dyDescent="0.25">
      <c r="A49" s="47">
        <v>1</v>
      </c>
      <c r="B49" s="49" t="s">
        <v>97</v>
      </c>
      <c r="C49" s="47"/>
      <c r="D49" s="82"/>
      <c r="E49" s="82"/>
      <c r="F49" s="85">
        <v>62859.5</v>
      </c>
      <c r="G49" s="48"/>
      <c r="H49" s="44">
        <v>28700</v>
      </c>
      <c r="I49" s="44"/>
      <c r="J49" s="86">
        <f>F49+G49-H49</f>
        <v>34159.5</v>
      </c>
      <c r="K49" s="57" t="s">
        <v>98</v>
      </c>
      <c r="L49" s="111"/>
    </row>
    <row r="50" spans="1:12" s="38" customFormat="1" x14ac:dyDescent="0.25">
      <c r="A50" s="39"/>
      <c r="B50" s="41" t="s">
        <v>31</v>
      </c>
      <c r="C50" s="69"/>
      <c r="D50" s="81"/>
      <c r="E50" s="81"/>
      <c r="F50" s="34"/>
      <c r="G50" s="34"/>
      <c r="H50" s="34"/>
      <c r="I50" s="34"/>
      <c r="J50" s="34"/>
      <c r="K50" s="40"/>
      <c r="L50" s="113"/>
    </row>
    <row r="51" spans="1:12" ht="31.5" x14ac:dyDescent="0.25">
      <c r="A51" s="47">
        <v>1</v>
      </c>
      <c r="B51" s="49" t="s">
        <v>99</v>
      </c>
      <c r="C51" s="47" t="s">
        <v>179</v>
      </c>
      <c r="D51" s="82">
        <v>51660</v>
      </c>
      <c r="E51" s="82">
        <v>14360</v>
      </c>
      <c r="F51" s="44">
        <v>1600</v>
      </c>
      <c r="G51" s="44">
        <v>2000</v>
      </c>
      <c r="H51" s="48"/>
      <c r="I51" s="48"/>
      <c r="J51" s="45">
        <f>F51+G51-H51</f>
        <v>3600</v>
      </c>
      <c r="K51" s="50" t="s">
        <v>100</v>
      </c>
      <c r="L51" s="111"/>
    </row>
    <row r="52" spans="1:12" ht="31.5" x14ac:dyDescent="0.25">
      <c r="A52" s="47">
        <v>2</v>
      </c>
      <c r="B52" s="49" t="s">
        <v>101</v>
      </c>
      <c r="C52" s="47" t="s">
        <v>102</v>
      </c>
      <c r="D52" s="82">
        <v>104000</v>
      </c>
      <c r="E52" s="82">
        <v>4000</v>
      </c>
      <c r="F52" s="44">
        <v>3900</v>
      </c>
      <c r="G52" s="44">
        <v>400</v>
      </c>
      <c r="H52" s="48"/>
      <c r="I52" s="48"/>
      <c r="J52" s="45">
        <f>F52+G52-H52</f>
        <v>4300</v>
      </c>
      <c r="K52" s="50" t="s">
        <v>100</v>
      </c>
      <c r="L52" s="111"/>
    </row>
    <row r="53" spans="1:12" ht="31.5" x14ac:dyDescent="0.25">
      <c r="A53" s="47">
        <v>3</v>
      </c>
      <c r="B53" s="49" t="s">
        <v>103</v>
      </c>
      <c r="C53" s="47" t="s">
        <v>227</v>
      </c>
      <c r="D53" s="82">
        <v>1300</v>
      </c>
      <c r="E53" s="82">
        <v>1300</v>
      </c>
      <c r="F53" s="44">
        <v>0</v>
      </c>
      <c r="G53" s="44">
        <v>1300</v>
      </c>
      <c r="H53" s="48"/>
      <c r="I53" s="48"/>
      <c r="J53" s="45">
        <f>F53+G53-H53</f>
        <v>1300</v>
      </c>
      <c r="K53" s="50" t="s">
        <v>210</v>
      </c>
      <c r="L53" s="111"/>
    </row>
    <row r="54" spans="1:12" ht="31.5" x14ac:dyDescent="0.25">
      <c r="A54" s="47">
        <v>4</v>
      </c>
      <c r="B54" s="49">
        <f>59905+42000+28700</f>
        <v>130605</v>
      </c>
      <c r="C54" s="47" t="s">
        <v>228</v>
      </c>
      <c r="D54" s="82">
        <v>25000</v>
      </c>
      <c r="E54" s="82">
        <v>25000</v>
      </c>
      <c r="F54" s="44">
        <v>0</v>
      </c>
      <c r="G54" s="44">
        <v>25000</v>
      </c>
      <c r="H54" s="48"/>
      <c r="I54" s="48"/>
      <c r="J54" s="45">
        <f>F54+G54-H54</f>
        <v>25000</v>
      </c>
      <c r="K54" s="50" t="s">
        <v>210</v>
      </c>
      <c r="L54" s="111"/>
    </row>
  </sheetData>
  <mergeCells count="15">
    <mergeCell ref="A1:K1"/>
    <mergeCell ref="A2:K2"/>
    <mergeCell ref="A4:K4"/>
    <mergeCell ref="F5:K5"/>
    <mergeCell ref="A6:A8"/>
    <mergeCell ref="B6:B8"/>
    <mergeCell ref="C6:E6"/>
    <mergeCell ref="F6:F8"/>
    <mergeCell ref="G6:H7"/>
    <mergeCell ref="I6:I8"/>
    <mergeCell ref="J6:J8"/>
    <mergeCell ref="K6:K8"/>
    <mergeCell ref="C7:C8"/>
    <mergeCell ref="D7:E7"/>
    <mergeCell ref="A3:K3"/>
  </mergeCells>
  <pageMargins left="0.70866141732283472" right="0.19685039370078741" top="0.51181102362204722" bottom="0.51181102362204722" header="0.31496062992125984" footer="0.31496062992125984"/>
  <pageSetup paperSize="9" scale="72" fitToHeight="0"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54"/>
  <sheetViews>
    <sheetView tabSelected="1" zoomScale="70" zoomScaleNormal="70" workbookViewId="0">
      <selection activeCell="H11" sqref="H11"/>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3.125" style="26" customWidth="1"/>
    <col min="7" max="8" width="10.625" style="26" customWidth="1"/>
    <col min="9" max="9" width="11.375" style="26" customWidth="1"/>
    <col min="10" max="10" width="12.75" style="26" customWidth="1"/>
    <col min="11" max="11" width="36.125" style="106" customWidth="1"/>
    <col min="12" max="12" width="21.625" style="143" hidden="1" customWidth="1"/>
    <col min="13" max="13" width="14.75" style="26" bestFit="1" customWidth="1"/>
    <col min="14" max="16384" width="9" style="26"/>
  </cols>
  <sheetData>
    <row r="1" spans="1:18" x14ac:dyDescent="0.25">
      <c r="A1" s="151" t="s">
        <v>270</v>
      </c>
      <c r="B1" s="151"/>
      <c r="C1" s="151"/>
      <c r="D1" s="151"/>
      <c r="E1" s="151"/>
      <c r="F1" s="151"/>
      <c r="G1" s="151"/>
      <c r="H1" s="151"/>
      <c r="I1" s="151"/>
      <c r="J1" s="151"/>
      <c r="K1" s="151"/>
    </row>
    <row r="2" spans="1:18" ht="15.6" customHeight="1" x14ac:dyDescent="0.25">
      <c r="A2" s="151" t="s">
        <v>258</v>
      </c>
      <c r="B2" s="151"/>
      <c r="C2" s="151"/>
      <c r="D2" s="151"/>
      <c r="E2" s="151"/>
      <c r="F2" s="151"/>
      <c r="G2" s="151"/>
      <c r="H2" s="151"/>
      <c r="I2" s="151"/>
      <c r="J2" s="151"/>
      <c r="K2" s="151"/>
      <c r="L2" s="144"/>
      <c r="M2" s="26">
        <v>35300</v>
      </c>
      <c r="P2" s="26">
        <v>35300</v>
      </c>
    </row>
    <row r="3" spans="1:18" x14ac:dyDescent="0.25">
      <c r="A3" s="151" t="s">
        <v>271</v>
      </c>
      <c r="B3" s="151"/>
      <c r="C3" s="151"/>
      <c r="D3" s="151"/>
      <c r="E3" s="151"/>
      <c r="F3" s="151"/>
      <c r="G3" s="151"/>
      <c r="H3" s="151"/>
      <c r="I3" s="151"/>
      <c r="J3" s="151"/>
      <c r="K3" s="151"/>
      <c r="L3" s="144"/>
      <c r="M3" s="26">
        <v>38687</v>
      </c>
      <c r="P3" s="26">
        <v>38687</v>
      </c>
    </row>
    <row r="4" spans="1:18" x14ac:dyDescent="0.25">
      <c r="A4" s="152" t="s">
        <v>320</v>
      </c>
      <c r="B4" s="152"/>
      <c r="C4" s="152"/>
      <c r="D4" s="152"/>
      <c r="E4" s="152"/>
      <c r="F4" s="152"/>
      <c r="G4" s="152"/>
      <c r="H4" s="152"/>
      <c r="I4" s="152"/>
      <c r="J4" s="152"/>
      <c r="K4" s="152"/>
      <c r="M4" s="26">
        <v>44500</v>
      </c>
      <c r="N4" s="26">
        <v>2500</v>
      </c>
      <c r="P4" s="26">
        <v>44500</v>
      </c>
      <c r="Q4" s="26">
        <v>2500</v>
      </c>
    </row>
    <row r="5" spans="1:18" x14ac:dyDescent="0.25">
      <c r="F5" s="153" t="s">
        <v>321</v>
      </c>
      <c r="G5" s="153"/>
      <c r="H5" s="153"/>
      <c r="I5" s="153"/>
      <c r="J5" s="153"/>
      <c r="K5" s="153"/>
      <c r="M5" s="26">
        <v>45000</v>
      </c>
      <c r="N5" s="26">
        <v>2500</v>
      </c>
      <c r="P5" s="26">
        <v>44500</v>
      </c>
      <c r="Q5" s="26">
        <v>2500</v>
      </c>
    </row>
    <row r="6" spans="1:18" ht="15.6" customHeight="1" x14ac:dyDescent="0.25">
      <c r="A6" s="165" t="s">
        <v>2</v>
      </c>
      <c r="B6" s="166" t="s">
        <v>3</v>
      </c>
      <c r="C6" s="166" t="s">
        <v>4</v>
      </c>
      <c r="D6" s="166"/>
      <c r="E6" s="166"/>
      <c r="F6" s="166" t="s">
        <v>5</v>
      </c>
      <c r="G6" s="166" t="s">
        <v>107</v>
      </c>
      <c r="H6" s="166"/>
      <c r="I6" s="166" t="s">
        <v>211</v>
      </c>
      <c r="J6" s="167" t="s">
        <v>6</v>
      </c>
      <c r="K6" s="166" t="s">
        <v>7</v>
      </c>
      <c r="L6" s="145"/>
      <c r="M6" s="26">
        <v>58700</v>
      </c>
      <c r="N6" s="26">
        <v>2500</v>
      </c>
      <c r="P6" s="26">
        <v>53500</v>
      </c>
      <c r="Q6" s="26">
        <v>2500</v>
      </c>
    </row>
    <row r="7" spans="1:18" x14ac:dyDescent="0.25">
      <c r="A7" s="165"/>
      <c r="B7" s="166"/>
      <c r="C7" s="166" t="s">
        <v>8</v>
      </c>
      <c r="D7" s="166" t="s">
        <v>9</v>
      </c>
      <c r="E7" s="166"/>
      <c r="F7" s="166"/>
      <c r="G7" s="166"/>
      <c r="H7" s="166"/>
      <c r="I7" s="166"/>
      <c r="J7" s="167"/>
      <c r="K7" s="166"/>
      <c r="L7" s="146"/>
      <c r="M7" s="38">
        <f>SUM(M2:M6)</f>
        <v>222187</v>
      </c>
      <c r="N7" s="38">
        <f>SUM(N2:N6)</f>
        <v>7500</v>
      </c>
      <c r="O7" s="26">
        <f>M7+N7</f>
        <v>229687</v>
      </c>
      <c r="P7" s="38">
        <f>SUM(P2:P6)</f>
        <v>216487</v>
      </c>
      <c r="Q7" s="38">
        <f>SUM(Q2:Q6)</f>
        <v>7500</v>
      </c>
      <c r="R7" s="26">
        <f>P7+Q7</f>
        <v>223987</v>
      </c>
    </row>
    <row r="8" spans="1:18" ht="48.75" customHeight="1" x14ac:dyDescent="0.25">
      <c r="A8" s="165"/>
      <c r="B8" s="166"/>
      <c r="C8" s="166"/>
      <c r="D8" s="33" t="s">
        <v>10</v>
      </c>
      <c r="E8" s="33" t="s">
        <v>260</v>
      </c>
      <c r="F8" s="166"/>
      <c r="G8" s="118" t="s">
        <v>309</v>
      </c>
      <c r="H8" s="118" t="s">
        <v>310</v>
      </c>
      <c r="I8" s="166"/>
      <c r="J8" s="167"/>
      <c r="K8" s="166"/>
      <c r="L8" s="147"/>
      <c r="N8" s="25"/>
    </row>
    <row r="9" spans="1:18" s="38" customFormat="1" x14ac:dyDescent="0.25">
      <c r="A9" s="32"/>
      <c r="B9" s="33" t="s">
        <v>13</v>
      </c>
      <c r="C9" s="33"/>
      <c r="D9" s="33"/>
      <c r="E9" s="33"/>
      <c r="F9" s="33"/>
      <c r="G9" s="33">
        <f>G17</f>
        <v>6713</v>
      </c>
      <c r="H9" s="33">
        <f t="shared" ref="H9" si="0">H17</f>
        <v>6713</v>
      </c>
      <c r="I9" s="33">
        <f>I10</f>
        <v>23987</v>
      </c>
      <c r="J9" s="33"/>
      <c r="K9" s="33"/>
      <c r="L9" s="148"/>
      <c r="M9" s="37">
        <f>G9-L9</f>
        <v>6713</v>
      </c>
    </row>
    <row r="10" spans="1:18" s="38" customFormat="1" ht="31.5" x14ac:dyDescent="0.25">
      <c r="A10" s="39" t="s">
        <v>76</v>
      </c>
      <c r="B10" s="67" t="s">
        <v>314</v>
      </c>
      <c r="C10" s="39"/>
      <c r="D10" s="68"/>
      <c r="E10" s="68"/>
      <c r="F10" s="34">
        <v>200000</v>
      </c>
      <c r="G10" s="34"/>
      <c r="H10" s="34"/>
      <c r="I10" s="34">
        <f>SUM(I11:I12)</f>
        <v>23987</v>
      </c>
      <c r="J10" s="34">
        <f>F10+I10</f>
        <v>223987</v>
      </c>
      <c r="K10" s="40"/>
      <c r="L10" s="113"/>
    </row>
    <row r="11" spans="1:18" ht="63" x14ac:dyDescent="0.25">
      <c r="A11" s="47">
        <v>1</v>
      </c>
      <c r="B11" s="49" t="s">
        <v>298</v>
      </c>
      <c r="C11" s="47" t="s">
        <v>307</v>
      </c>
      <c r="D11" s="137">
        <v>23000</v>
      </c>
      <c r="E11" s="137">
        <f>D11</f>
        <v>23000</v>
      </c>
      <c r="F11" s="137">
        <v>0</v>
      </c>
      <c r="G11" s="137"/>
      <c r="H11" s="137"/>
      <c r="I11" s="137">
        <f>7220-1713</f>
        <v>5507</v>
      </c>
      <c r="J11" s="137">
        <f t="shared" ref="J11" si="1">F11+G11+I11</f>
        <v>5507</v>
      </c>
      <c r="K11" s="48" t="s">
        <v>306</v>
      </c>
    </row>
    <row r="12" spans="1:18" ht="47.25" x14ac:dyDescent="0.25">
      <c r="A12" s="47">
        <v>2</v>
      </c>
      <c r="B12" s="49" t="s">
        <v>299</v>
      </c>
      <c r="C12" s="47"/>
      <c r="D12" s="139"/>
      <c r="E12" s="137"/>
      <c r="F12" s="137">
        <f>SUM(F13:F16)</f>
        <v>30000</v>
      </c>
      <c r="G12" s="137"/>
      <c r="H12" s="137"/>
      <c r="I12" s="137">
        <f>SUM(I13:I16)</f>
        <v>18480</v>
      </c>
      <c r="J12" s="137">
        <f>SUM(J13:J16)</f>
        <v>48480</v>
      </c>
      <c r="K12" s="50" t="s">
        <v>38</v>
      </c>
    </row>
    <row r="13" spans="1:18" x14ac:dyDescent="0.25">
      <c r="A13" s="140" t="s">
        <v>41</v>
      </c>
      <c r="B13" s="141" t="s">
        <v>300</v>
      </c>
      <c r="C13" s="47"/>
      <c r="D13" s="139"/>
      <c r="E13" s="137"/>
      <c r="F13" s="142">
        <v>7500</v>
      </c>
      <c r="G13" s="137"/>
      <c r="H13" s="137"/>
      <c r="I13" s="137">
        <v>2520</v>
      </c>
      <c r="J13" s="137">
        <f t="shared" ref="J13:J16" si="2">F13+I13</f>
        <v>10020</v>
      </c>
      <c r="K13" s="50"/>
    </row>
    <row r="14" spans="1:18" x14ac:dyDescent="0.25">
      <c r="A14" s="140" t="s">
        <v>41</v>
      </c>
      <c r="B14" s="141" t="s">
        <v>301</v>
      </c>
      <c r="C14" s="47"/>
      <c r="D14" s="139"/>
      <c r="E14" s="137"/>
      <c r="F14" s="142">
        <v>7500</v>
      </c>
      <c r="G14" s="137"/>
      <c r="H14" s="137"/>
      <c r="I14" s="137">
        <v>2520</v>
      </c>
      <c r="J14" s="137">
        <f t="shared" si="2"/>
        <v>10020</v>
      </c>
      <c r="K14" s="50"/>
    </row>
    <row r="15" spans="1:18" x14ac:dyDescent="0.25">
      <c r="A15" s="140" t="s">
        <v>41</v>
      </c>
      <c r="B15" s="141" t="s">
        <v>302</v>
      </c>
      <c r="C15" s="47"/>
      <c r="D15" s="139"/>
      <c r="E15" s="137"/>
      <c r="F15" s="142">
        <v>7500</v>
      </c>
      <c r="G15" s="137"/>
      <c r="H15" s="137"/>
      <c r="I15" s="137">
        <v>6720</v>
      </c>
      <c r="J15" s="137">
        <f t="shared" si="2"/>
        <v>14220</v>
      </c>
      <c r="K15" s="50"/>
    </row>
    <row r="16" spans="1:18" x14ac:dyDescent="0.25">
      <c r="A16" s="140" t="s">
        <v>41</v>
      </c>
      <c r="B16" s="141" t="s">
        <v>303</v>
      </c>
      <c r="C16" s="47"/>
      <c r="D16" s="139"/>
      <c r="E16" s="137"/>
      <c r="F16" s="142">
        <v>7500</v>
      </c>
      <c r="G16" s="137"/>
      <c r="H16" s="137"/>
      <c r="I16" s="137">
        <v>6720</v>
      </c>
      <c r="J16" s="137">
        <f t="shared" si="2"/>
        <v>14220</v>
      </c>
      <c r="K16" s="50"/>
    </row>
    <row r="17" spans="1:12" s="38" customFormat="1" ht="31.5" x14ac:dyDescent="0.25">
      <c r="A17" s="5" t="s">
        <v>78</v>
      </c>
      <c r="B17" s="78" t="s">
        <v>130</v>
      </c>
      <c r="C17" s="65"/>
      <c r="D17" s="1">
        <f>SUM(D18:D26)</f>
        <v>96300</v>
      </c>
      <c r="E17" s="1">
        <f t="shared" ref="E17:J17" si="3">SUM(E18:E26)</f>
        <v>52400</v>
      </c>
      <c r="F17" s="1">
        <f t="shared" si="3"/>
        <v>24400</v>
      </c>
      <c r="G17" s="1">
        <f t="shared" si="3"/>
        <v>6713</v>
      </c>
      <c r="H17" s="1">
        <f t="shared" si="3"/>
        <v>6713</v>
      </c>
      <c r="I17" s="1"/>
      <c r="J17" s="1">
        <f t="shared" si="3"/>
        <v>24400</v>
      </c>
      <c r="K17" s="79"/>
      <c r="L17" s="113"/>
    </row>
    <row r="18" spans="1:12" x14ac:dyDescent="0.25">
      <c r="A18" s="39" t="s">
        <v>129</v>
      </c>
      <c r="B18" s="41" t="s">
        <v>14</v>
      </c>
      <c r="C18" s="49"/>
      <c r="D18" s="49"/>
      <c r="E18" s="49"/>
      <c r="F18" s="48"/>
      <c r="G18" s="48"/>
      <c r="H18" s="48"/>
      <c r="I18" s="48"/>
      <c r="J18" s="48"/>
      <c r="K18" s="50"/>
    </row>
    <row r="19" spans="1:12" ht="31.5" x14ac:dyDescent="0.25">
      <c r="A19" s="31">
        <v>1</v>
      </c>
      <c r="B19" s="133" t="s">
        <v>286</v>
      </c>
      <c r="C19" s="31" t="s">
        <v>291</v>
      </c>
      <c r="D19" s="134">
        <v>5500</v>
      </c>
      <c r="E19" s="134">
        <v>1500</v>
      </c>
      <c r="F19" s="134">
        <v>1500</v>
      </c>
      <c r="G19" s="135"/>
      <c r="H19" s="136">
        <v>490</v>
      </c>
      <c r="I19" s="48"/>
      <c r="J19" s="45">
        <f>F19+G19-H19</f>
        <v>1010</v>
      </c>
      <c r="K19" s="120" t="s">
        <v>280</v>
      </c>
    </row>
    <row r="20" spans="1:12" ht="31.5" x14ac:dyDescent="0.25">
      <c r="A20" s="31">
        <v>2</v>
      </c>
      <c r="B20" s="133" t="s">
        <v>287</v>
      </c>
      <c r="C20" s="31" t="s">
        <v>292</v>
      </c>
      <c r="D20" s="134">
        <v>4500</v>
      </c>
      <c r="E20" s="134">
        <v>1500</v>
      </c>
      <c r="F20" s="134">
        <v>1500</v>
      </c>
      <c r="G20" s="135"/>
      <c r="H20" s="136">
        <v>364</v>
      </c>
      <c r="I20" s="48"/>
      <c r="J20" s="45">
        <f t="shared" ref="J20:J23" si="4">F20+G20-H20</f>
        <v>1136</v>
      </c>
      <c r="K20" s="120" t="s">
        <v>280</v>
      </c>
    </row>
    <row r="21" spans="1:12" ht="47.25" x14ac:dyDescent="0.25">
      <c r="A21" s="31">
        <v>3</v>
      </c>
      <c r="B21" s="48" t="s">
        <v>288</v>
      </c>
      <c r="C21" s="31" t="s">
        <v>311</v>
      </c>
      <c r="D21" s="45">
        <v>4600</v>
      </c>
      <c r="E21" s="134">
        <v>4400</v>
      </c>
      <c r="F21" s="137">
        <v>4400</v>
      </c>
      <c r="G21" s="135"/>
      <c r="H21" s="136">
        <v>165</v>
      </c>
      <c r="I21" s="48"/>
      <c r="J21" s="45">
        <f t="shared" si="4"/>
        <v>4235</v>
      </c>
      <c r="K21" s="120" t="s">
        <v>280</v>
      </c>
    </row>
    <row r="22" spans="1:12" ht="63" x14ac:dyDescent="0.25">
      <c r="A22" s="31" t="s">
        <v>296</v>
      </c>
      <c r="B22" s="48" t="s">
        <v>289</v>
      </c>
      <c r="C22" s="31" t="s">
        <v>293</v>
      </c>
      <c r="D22" s="134">
        <f>E22</f>
        <v>12000</v>
      </c>
      <c r="E22" s="134">
        <v>12000</v>
      </c>
      <c r="F22" s="137">
        <v>12000</v>
      </c>
      <c r="G22" s="135"/>
      <c r="H22" s="136">
        <v>694</v>
      </c>
      <c r="I22" s="48"/>
      <c r="J22" s="45">
        <f t="shared" si="4"/>
        <v>11306</v>
      </c>
      <c r="K22" s="120" t="s">
        <v>280</v>
      </c>
    </row>
    <row r="23" spans="1:12" ht="63" x14ac:dyDescent="0.25">
      <c r="A23" s="47">
        <v>5</v>
      </c>
      <c r="B23" s="49" t="s">
        <v>290</v>
      </c>
      <c r="C23" s="31" t="s">
        <v>294</v>
      </c>
      <c r="D23" s="138">
        <v>29000</v>
      </c>
      <c r="E23" s="134">
        <v>5000</v>
      </c>
      <c r="F23" s="137">
        <v>5000</v>
      </c>
      <c r="G23" s="137"/>
      <c r="H23" s="136">
        <v>5000</v>
      </c>
      <c r="I23" s="48"/>
      <c r="J23" s="45">
        <f t="shared" si="4"/>
        <v>0</v>
      </c>
      <c r="K23" s="120" t="s">
        <v>295</v>
      </c>
    </row>
    <row r="24" spans="1:12" s="38" customFormat="1" x14ac:dyDescent="0.25">
      <c r="A24" s="39"/>
      <c r="B24" s="41" t="s">
        <v>31</v>
      </c>
      <c r="C24" s="41"/>
      <c r="D24" s="44"/>
      <c r="E24" s="44"/>
      <c r="F24" s="34"/>
      <c r="G24" s="34"/>
      <c r="H24" s="34"/>
      <c r="I24" s="34"/>
      <c r="J24" s="40"/>
      <c r="K24" s="79"/>
    </row>
    <row r="25" spans="1:12" ht="47.25" x14ac:dyDescent="0.25">
      <c r="A25" s="47">
        <v>1</v>
      </c>
      <c r="B25" s="49" t="s">
        <v>297</v>
      </c>
      <c r="C25" s="31" t="s">
        <v>304</v>
      </c>
      <c r="D25" s="138">
        <v>17700</v>
      </c>
      <c r="E25" s="134">
        <v>5000</v>
      </c>
      <c r="F25" s="137">
        <v>0</v>
      </c>
      <c r="G25" s="137">
        <v>5000</v>
      </c>
      <c r="H25" s="137"/>
      <c r="I25" s="137"/>
      <c r="J25" s="137">
        <f>F25+G25+I25</f>
        <v>5000</v>
      </c>
      <c r="K25" s="50" t="s">
        <v>305</v>
      </c>
    </row>
    <row r="26" spans="1:12" ht="63" x14ac:dyDescent="0.25">
      <c r="A26" s="47">
        <v>2</v>
      </c>
      <c r="B26" s="49" t="s">
        <v>298</v>
      </c>
      <c r="C26" s="47" t="s">
        <v>307</v>
      </c>
      <c r="D26" s="137">
        <v>23000</v>
      </c>
      <c r="E26" s="137">
        <f>D26</f>
        <v>23000</v>
      </c>
      <c r="F26" s="137">
        <v>0</v>
      </c>
      <c r="G26" s="137">
        <v>1713</v>
      </c>
      <c r="H26" s="137"/>
      <c r="I26" s="137"/>
      <c r="J26" s="137">
        <f t="shared" ref="J26" si="5">F26+G26+I26</f>
        <v>1713</v>
      </c>
      <c r="K26" s="48" t="s">
        <v>306</v>
      </c>
    </row>
    <row r="36" spans="2:7" ht="31.5" x14ac:dyDescent="0.25">
      <c r="B36" s="28" t="s">
        <v>42</v>
      </c>
      <c r="G36" s="26">
        <v>12000</v>
      </c>
    </row>
    <row r="37" spans="2:7" ht="31.5" x14ac:dyDescent="0.25">
      <c r="B37" s="28" t="s">
        <v>44</v>
      </c>
    </row>
    <row r="38" spans="2:7" x14ac:dyDescent="0.25">
      <c r="B38" s="28" t="s">
        <v>46</v>
      </c>
    </row>
    <row r="39" spans="2:7" ht="31.5" x14ac:dyDescent="0.25">
      <c r="B39" s="28" t="s">
        <v>48</v>
      </c>
    </row>
    <row r="40" spans="2:7" x14ac:dyDescent="0.25">
      <c r="B40" s="28" t="s">
        <v>50</v>
      </c>
    </row>
    <row r="41" spans="2:7" ht="31.5" x14ac:dyDescent="0.25">
      <c r="B41" s="28" t="s">
        <v>52</v>
      </c>
    </row>
    <row r="42" spans="2:7" ht="31.5" x14ac:dyDescent="0.25">
      <c r="B42" s="28" t="s">
        <v>54</v>
      </c>
    </row>
    <row r="45" spans="2:7" ht="31.5" x14ac:dyDescent="0.25">
      <c r="B45" s="28" t="s">
        <v>60</v>
      </c>
    </row>
    <row r="46" spans="2:7" ht="31.5" x14ac:dyDescent="0.25">
      <c r="B46" s="28" t="s">
        <v>62</v>
      </c>
    </row>
    <row r="47" spans="2:7" ht="31.5" x14ac:dyDescent="0.25">
      <c r="B47" s="28" t="s">
        <v>64</v>
      </c>
    </row>
    <row r="48" spans="2:7" ht="31.5" x14ac:dyDescent="0.25">
      <c r="B48" s="28" t="s">
        <v>66</v>
      </c>
    </row>
    <row r="54" spans="2:2" x14ac:dyDescent="0.25">
      <c r="B54" s="28">
        <f>59905+42000+28700</f>
        <v>130605</v>
      </c>
    </row>
  </sheetData>
  <mergeCells count="15">
    <mergeCell ref="I6:I8"/>
    <mergeCell ref="J6:J8"/>
    <mergeCell ref="K6:K8"/>
    <mergeCell ref="C7:C8"/>
    <mergeCell ref="D7:E7"/>
    <mergeCell ref="A1:K1"/>
    <mergeCell ref="A2:K2"/>
    <mergeCell ref="A3:K3"/>
    <mergeCell ref="A4:K4"/>
    <mergeCell ref="F5:K5"/>
    <mergeCell ref="A6:A8"/>
    <mergeCell ref="B6:B8"/>
    <mergeCell ref="C6:E6"/>
    <mergeCell ref="F6:F8"/>
    <mergeCell ref="G6:H7"/>
  </mergeCells>
  <pageMargins left="0.7" right="0.2" top="0.5" bottom="0.5"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H5" sqref="H5"/>
    </sheetView>
  </sheetViews>
  <sheetFormatPr defaultRowHeight="15.75" x14ac:dyDescent="0.25"/>
  <cols>
    <col min="1" max="1" width="8.125" customWidth="1"/>
    <col min="2" max="2" width="14.125" customWidth="1"/>
    <col min="3" max="4" width="8.625" style="150"/>
  </cols>
  <sheetData>
    <row r="2" spans="2:9" x14ac:dyDescent="0.25">
      <c r="B2" t="s">
        <v>315</v>
      </c>
      <c r="C2" s="25">
        <v>35300</v>
      </c>
      <c r="D2" s="25"/>
      <c r="E2" s="25">
        <f>C2</f>
        <v>35300</v>
      </c>
      <c r="F2" s="26"/>
      <c r="G2" s="25">
        <v>35300</v>
      </c>
      <c r="H2" s="25"/>
      <c r="I2" s="26"/>
    </row>
    <row r="3" spans="2:9" x14ac:dyDescent="0.25">
      <c r="B3" t="s">
        <v>316</v>
      </c>
      <c r="C3" s="25">
        <v>38687</v>
      </c>
      <c r="D3" s="25"/>
      <c r="E3" s="25">
        <f t="shared" ref="E3:E6" si="0">C3</f>
        <v>38687</v>
      </c>
      <c r="F3" s="26"/>
      <c r="G3" s="25">
        <v>38687</v>
      </c>
      <c r="H3" s="25"/>
      <c r="I3" s="26"/>
    </row>
    <row r="4" spans="2:9" x14ac:dyDescent="0.25">
      <c r="B4" t="s">
        <v>317</v>
      </c>
      <c r="C4" s="25">
        <v>44500</v>
      </c>
      <c r="D4" s="25">
        <v>2500</v>
      </c>
      <c r="E4" s="144">
        <f>C4+D4</f>
        <v>47000</v>
      </c>
      <c r="F4" s="26"/>
      <c r="G4" s="25">
        <v>44500</v>
      </c>
      <c r="H4" s="25">
        <v>2500</v>
      </c>
      <c r="I4" s="26"/>
    </row>
    <row r="5" spans="2:9" x14ac:dyDescent="0.25">
      <c r="B5" t="s">
        <v>318</v>
      </c>
      <c r="C5" s="25">
        <v>45000</v>
      </c>
      <c r="D5" s="25">
        <v>2500</v>
      </c>
      <c r="E5" s="25">
        <f t="shared" si="0"/>
        <v>45000</v>
      </c>
      <c r="F5" s="26"/>
      <c r="G5" s="25">
        <v>44500</v>
      </c>
      <c r="H5" s="25">
        <v>2500</v>
      </c>
      <c r="I5" s="26"/>
    </row>
    <row r="6" spans="2:9" x14ac:dyDescent="0.25">
      <c r="B6" t="s">
        <v>319</v>
      </c>
      <c r="C6" s="25">
        <v>58700</v>
      </c>
      <c r="D6" s="25">
        <v>2500</v>
      </c>
      <c r="E6" s="25">
        <f t="shared" si="0"/>
        <v>58700</v>
      </c>
      <c r="F6" s="26"/>
      <c r="G6" s="25">
        <v>53500</v>
      </c>
      <c r="H6" s="25">
        <v>2500</v>
      </c>
      <c r="I6" s="26"/>
    </row>
    <row r="7" spans="2:9" x14ac:dyDescent="0.25">
      <c r="C7" s="37">
        <f>SUM(C2:C6)</f>
        <v>222187</v>
      </c>
      <c r="D7" s="37">
        <f>SUM(D2:D6)</f>
        <v>7500</v>
      </c>
      <c r="E7" s="37">
        <f>SUM(E2:E6)</f>
        <v>224687</v>
      </c>
      <c r="F7" s="26">
        <f>C7+D7</f>
        <v>229687</v>
      </c>
      <c r="G7" s="37">
        <f>SUM(G2:G6)</f>
        <v>216487</v>
      </c>
      <c r="H7" s="37">
        <f>SUM(H2:H6)</f>
        <v>7500</v>
      </c>
      <c r="I7" s="26">
        <f>G7+H7</f>
        <v>223987</v>
      </c>
    </row>
    <row r="8" spans="2:9" x14ac:dyDescent="0.25">
      <c r="E8" s="37">
        <f>I7</f>
        <v>223987</v>
      </c>
      <c r="F8" s="150">
        <f>E7-E8</f>
        <v>700</v>
      </c>
    </row>
  </sheetData>
  <phoneticPr fontId="1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opLeftCell="A6" workbookViewId="0">
      <selection activeCell="B13" sqref="B13"/>
    </sheetView>
  </sheetViews>
  <sheetFormatPr defaultColWidth="8.625" defaultRowHeight="15.75" x14ac:dyDescent="0.25"/>
  <cols>
    <col min="1" max="1" width="7.375" style="117" customWidth="1"/>
    <col min="2" max="2" width="63.125" style="26" customWidth="1"/>
    <col min="3" max="3" width="8.625" style="26"/>
    <col min="4" max="4" width="17.375" style="26" customWidth="1"/>
    <col min="5" max="16384" width="8.625" style="26"/>
  </cols>
  <sheetData>
    <row r="3" spans="1:5" s="38" customFormat="1" x14ac:dyDescent="0.25">
      <c r="A3" s="118" t="s">
        <v>76</v>
      </c>
      <c r="B3" s="79" t="s">
        <v>248</v>
      </c>
      <c r="C3" s="66">
        <f>D3-E3</f>
        <v>81401</v>
      </c>
      <c r="D3" s="66">
        <f>'Phuong an (NSTW)'!K19</f>
        <v>166051</v>
      </c>
      <c r="E3" s="37">
        <f>'1.NSCD'!I23</f>
        <v>84650</v>
      </c>
    </row>
    <row r="4" spans="1:5" s="38" customFormat="1" x14ac:dyDescent="0.25">
      <c r="A4" s="118" t="s">
        <v>78</v>
      </c>
      <c r="B4" s="79" t="s">
        <v>256</v>
      </c>
      <c r="C4" s="66" t="e">
        <f>SUM(C5:C15)</f>
        <v>#REF!</v>
      </c>
      <c r="D4" s="66"/>
      <c r="E4" s="37"/>
    </row>
    <row r="5" spans="1:5" ht="31.5" x14ac:dyDescent="0.25">
      <c r="A5" s="31">
        <v>1</v>
      </c>
      <c r="B5" s="50" t="s">
        <v>191</v>
      </c>
      <c r="C5" s="51">
        <v>12000</v>
      </c>
      <c r="D5" s="48" t="s">
        <v>244</v>
      </c>
    </row>
    <row r="6" spans="1:5" ht="31.5" x14ac:dyDescent="0.25">
      <c r="A6" s="31">
        <v>2</v>
      </c>
      <c r="B6" s="50" t="s">
        <v>203</v>
      </c>
      <c r="C6" s="51" t="e">
        <f>'1.NSCD'!#REF!</f>
        <v>#REF!</v>
      </c>
      <c r="D6" s="48" t="s">
        <v>245</v>
      </c>
    </row>
    <row r="7" spans="1:5" ht="31.5" x14ac:dyDescent="0.25">
      <c r="A7" s="31">
        <v>3</v>
      </c>
      <c r="B7" s="72" t="s">
        <v>246</v>
      </c>
      <c r="C7" s="51" t="e">
        <f>'1.NSCD'!#REF!</f>
        <v>#REF!</v>
      </c>
      <c r="D7" s="48" t="s">
        <v>247</v>
      </c>
    </row>
    <row r="8" spans="1:5" ht="31.5" x14ac:dyDescent="0.25">
      <c r="A8" s="31">
        <v>4</v>
      </c>
      <c r="B8" s="72" t="s">
        <v>154</v>
      </c>
      <c r="C8" s="51" t="e">
        <f>'1.NSCD'!#REF!</f>
        <v>#REF!</v>
      </c>
      <c r="D8" s="48" t="s">
        <v>247</v>
      </c>
    </row>
    <row r="9" spans="1:5" x14ac:dyDescent="0.25">
      <c r="A9" s="31">
        <v>5</v>
      </c>
      <c r="B9" s="72" t="s">
        <v>249</v>
      </c>
      <c r="C9" s="51">
        <v>4000</v>
      </c>
      <c r="D9" s="48"/>
    </row>
    <row r="10" spans="1:5" x14ac:dyDescent="0.25">
      <c r="A10" s="31">
        <v>6</v>
      </c>
      <c r="B10" s="72" t="s">
        <v>250</v>
      </c>
      <c r="C10" s="51">
        <v>11000</v>
      </c>
      <c r="D10" s="48"/>
    </row>
    <row r="11" spans="1:5" x14ac:dyDescent="0.25">
      <c r="A11" s="31">
        <v>7</v>
      </c>
      <c r="B11" s="72" t="s">
        <v>251</v>
      </c>
      <c r="C11" s="51">
        <f>98*3000</f>
        <v>294000</v>
      </c>
      <c r="D11" s="161" t="s">
        <v>255</v>
      </c>
    </row>
    <row r="12" spans="1:5" x14ac:dyDescent="0.25">
      <c r="A12" s="31">
        <v>8</v>
      </c>
      <c r="B12" s="72" t="s">
        <v>252</v>
      </c>
      <c r="C12" s="51">
        <v>4000</v>
      </c>
      <c r="D12" s="162"/>
    </row>
    <row r="13" spans="1:5" x14ac:dyDescent="0.25">
      <c r="A13" s="31">
        <v>9</v>
      </c>
      <c r="B13" s="72" t="s">
        <v>253</v>
      </c>
      <c r="C13" s="51">
        <v>3000</v>
      </c>
      <c r="D13" s="162"/>
    </row>
    <row r="14" spans="1:5" x14ac:dyDescent="0.25">
      <c r="A14" s="31">
        <v>10</v>
      </c>
      <c r="B14" s="72" t="s">
        <v>254</v>
      </c>
      <c r="C14" s="51">
        <v>2000</v>
      </c>
      <c r="D14" s="162"/>
    </row>
    <row r="15" spans="1:5" x14ac:dyDescent="0.25">
      <c r="A15" s="31">
        <v>11</v>
      </c>
      <c r="B15" s="72" t="s">
        <v>253</v>
      </c>
      <c r="C15" s="51">
        <v>3000</v>
      </c>
      <c r="D15" s="163"/>
    </row>
  </sheetData>
  <mergeCells count="1">
    <mergeCell ref="D11:D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topLeftCell="A11" zoomScale="110" zoomScaleNormal="110" workbookViewId="0">
      <selection activeCell="K12" sqref="K12"/>
    </sheetView>
  </sheetViews>
  <sheetFormatPr defaultColWidth="8.375" defaultRowHeight="15" x14ac:dyDescent="0.25"/>
  <cols>
    <col min="1" max="1" width="5.25" style="23" customWidth="1"/>
    <col min="2" max="2" width="34.125" style="6" customWidth="1"/>
    <col min="3" max="3" width="13.625" style="6" customWidth="1"/>
    <col min="4" max="4" width="12.625" style="6" customWidth="1"/>
    <col min="5" max="5" width="18.625" style="6" customWidth="1"/>
    <col min="6" max="6" width="11.5" style="6" customWidth="1"/>
    <col min="7" max="16384" width="8.375" style="6"/>
  </cols>
  <sheetData>
    <row r="2" spans="1:7" x14ac:dyDescent="0.25">
      <c r="A2" s="164" t="s">
        <v>168</v>
      </c>
      <c r="B2" s="164"/>
      <c r="C2" s="164"/>
      <c r="D2" s="164"/>
    </row>
    <row r="4" spans="1:7" s="9" customFormat="1" ht="34.5" customHeight="1" x14ac:dyDescent="0.2">
      <c r="A4" s="7" t="s">
        <v>2</v>
      </c>
      <c r="B4" s="8" t="s">
        <v>169</v>
      </c>
      <c r="C4" s="8" t="s">
        <v>170</v>
      </c>
      <c r="D4" s="8" t="s">
        <v>171</v>
      </c>
      <c r="E4" s="8" t="s">
        <v>7</v>
      </c>
    </row>
    <row r="5" spans="1:7" s="9" customFormat="1" ht="34.5" customHeight="1" x14ac:dyDescent="0.2">
      <c r="A5" s="8"/>
      <c r="B5" s="10" t="s">
        <v>172</v>
      </c>
      <c r="C5" s="8"/>
      <c r="D5" s="8"/>
      <c r="E5" s="8"/>
    </row>
    <row r="6" spans="1:7" s="9" customFormat="1" ht="23.25" customHeight="1" x14ac:dyDescent="0.2">
      <c r="A6" s="8"/>
      <c r="B6" s="8" t="s">
        <v>173</v>
      </c>
      <c r="C6" s="8"/>
      <c r="D6" s="11">
        <f>D7+D8+D12</f>
        <v>162000</v>
      </c>
      <c r="E6" s="8"/>
    </row>
    <row r="7" spans="1:7" s="9" customFormat="1" ht="23.25" customHeight="1" x14ac:dyDescent="0.2">
      <c r="A7" s="8">
        <v>1</v>
      </c>
      <c r="B7" s="12" t="s">
        <v>115</v>
      </c>
      <c r="C7" s="13">
        <v>270000</v>
      </c>
      <c r="D7" s="13">
        <f>162000*0.15</f>
        <v>24300</v>
      </c>
      <c r="E7" s="8"/>
    </row>
    <row r="8" spans="1:7" s="9" customFormat="1" ht="23.25" customHeight="1" x14ac:dyDescent="0.2">
      <c r="A8" s="8">
        <v>2</v>
      </c>
      <c r="B8" s="12" t="s">
        <v>117</v>
      </c>
      <c r="C8" s="13">
        <f>SUM(C9:C11)</f>
        <v>652268</v>
      </c>
      <c r="D8" s="13">
        <f>SUM(D9:D11)</f>
        <v>76140</v>
      </c>
      <c r="E8" s="8"/>
    </row>
    <row r="9" spans="1:7" s="19" customFormat="1" ht="36" customHeight="1" x14ac:dyDescent="0.25">
      <c r="A9" s="14" t="s">
        <v>121</v>
      </c>
      <c r="B9" s="15" t="s">
        <v>118</v>
      </c>
      <c r="C9" s="16">
        <v>207068</v>
      </c>
      <c r="D9" s="16">
        <v>21140</v>
      </c>
      <c r="E9" s="17" t="s">
        <v>174</v>
      </c>
      <c r="F9" s="18">
        <v>20</v>
      </c>
    </row>
    <row r="10" spans="1:7" s="19" customFormat="1" ht="36" customHeight="1" x14ac:dyDescent="0.25">
      <c r="A10" s="14" t="s">
        <v>121</v>
      </c>
      <c r="B10" s="15" t="s">
        <v>175</v>
      </c>
      <c r="C10" s="16">
        <v>385000</v>
      </c>
      <c r="D10" s="16">
        <v>52000</v>
      </c>
      <c r="E10" s="17" t="s">
        <v>174</v>
      </c>
      <c r="F10" s="18">
        <v>40</v>
      </c>
    </row>
    <row r="11" spans="1:7" s="19" customFormat="1" ht="36" customHeight="1" x14ac:dyDescent="0.25">
      <c r="A11" s="14" t="s">
        <v>121</v>
      </c>
      <c r="B11" s="15" t="s">
        <v>176</v>
      </c>
      <c r="C11" s="16">
        <v>60200</v>
      </c>
      <c r="D11" s="16">
        <v>3000</v>
      </c>
      <c r="E11" s="17" t="s">
        <v>174</v>
      </c>
      <c r="F11" s="18">
        <v>3</v>
      </c>
    </row>
    <row r="12" spans="1:7" s="9" customFormat="1" ht="34.5" customHeight="1" x14ac:dyDescent="0.2">
      <c r="A12" s="8">
        <v>3</v>
      </c>
      <c r="B12" s="12" t="s">
        <v>120</v>
      </c>
      <c r="C12" s="13">
        <f>SUM(C13:C15)</f>
        <v>102951</v>
      </c>
      <c r="D12" s="13">
        <f>SUM(D13:D15)</f>
        <v>61560</v>
      </c>
      <c r="E12" s="8"/>
    </row>
    <row r="13" spans="1:7" ht="34.5" customHeight="1" x14ac:dyDescent="0.25">
      <c r="A13" s="14" t="s">
        <v>121</v>
      </c>
      <c r="B13" s="17" t="s">
        <v>177</v>
      </c>
      <c r="C13" s="16">
        <v>27753</v>
      </c>
      <c r="D13" s="16">
        <f>C13</f>
        <v>27753</v>
      </c>
      <c r="E13" s="17" t="s">
        <v>174</v>
      </c>
      <c r="G13" s="20"/>
    </row>
    <row r="14" spans="1:7" ht="33.75" customHeight="1" x14ac:dyDescent="0.25">
      <c r="A14" s="14" t="s">
        <v>121</v>
      </c>
      <c r="B14" s="17" t="s">
        <v>124</v>
      </c>
      <c r="C14" s="16">
        <v>47198</v>
      </c>
      <c r="D14" s="16">
        <v>27807</v>
      </c>
      <c r="E14" s="17" t="s">
        <v>174</v>
      </c>
    </row>
    <row r="15" spans="1:7" ht="33.75" customHeight="1" x14ac:dyDescent="0.25">
      <c r="A15" s="14" t="s">
        <v>121</v>
      </c>
      <c r="B15" s="17" t="s">
        <v>125</v>
      </c>
      <c r="C15" s="16">
        <v>28000</v>
      </c>
      <c r="D15" s="16">
        <v>6000</v>
      </c>
      <c r="E15" s="17" t="s">
        <v>174</v>
      </c>
      <c r="F15" s="20"/>
      <c r="G15" s="20"/>
    </row>
    <row r="16" spans="1:7" ht="15.75" x14ac:dyDescent="0.25">
      <c r="A16" s="21"/>
      <c r="B16" s="22"/>
      <c r="C16" s="16"/>
      <c r="D16" s="16"/>
      <c r="E16" s="17"/>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Phuong an (NSTW)</vt:lpstr>
      <vt:lpstr>1.NSCD</vt:lpstr>
      <vt:lpstr>2.Dat</vt:lpstr>
      <vt:lpstr>3.XSKT</vt:lpstr>
      <vt:lpstr>Sheet1</vt:lpstr>
      <vt:lpstr>Sheet2</vt:lpstr>
      <vt:lpstr>Ung quy PTĐ</vt:lpstr>
      <vt:lpstr>'1.NSCD'!Print_Area</vt:lpstr>
      <vt:lpstr>'2.Dat'!Print_Area</vt:lpstr>
      <vt:lpstr>'3.XSKT'!Print_Area</vt:lpstr>
      <vt:lpstr>'Phuong an (NSTW)'!Print_Area</vt:lpstr>
      <vt:lpstr>Sheet1!Print_Area</vt:lpstr>
      <vt:lpstr>Sheet2!Print_Area</vt:lpstr>
      <vt:lpstr>'1.NSCD'!Print_Titles</vt:lpstr>
      <vt:lpstr>'2.Dat'!Print_Titles</vt:lpstr>
      <vt:lpstr>'3.XSKT'!Print_Titles</vt:lpstr>
      <vt:lpstr>'Phuong an (NSTW)'!Print_Titles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MrLong</cp:lastModifiedBy>
  <cp:lastPrinted>2023-10-22T01:13:00Z</cp:lastPrinted>
  <dcterms:created xsi:type="dcterms:W3CDTF">2023-07-19T13:03:44Z</dcterms:created>
  <dcterms:modified xsi:type="dcterms:W3CDTF">2023-10-22T01:15:49Z</dcterms:modified>
</cp:coreProperties>
</file>